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illo\Documents\Course à pied\2025-2026\"/>
    </mc:Choice>
  </mc:AlternateContent>
  <xr:revisionPtr revIDLastSave="0" documentId="13_ncr:1_{A00E5A64-2D32-4E7E-BA3D-B57C0FFFA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mmes" sheetId="1" r:id="rId1"/>
    <sheet name="Femme" sheetId="3" r:id="rId2"/>
  </sheets>
  <definedNames>
    <definedName name="_xlnm._FilterDatabase" localSheetId="1" hidden="1">Femme!$A$1:$BB$29</definedName>
    <definedName name="_xlnm._FilterDatabase" localSheetId="0" hidden="1">Hommes!$A$1:$D$34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U10" i="1" l="1"/>
  <c r="AX12" i="3"/>
  <c r="AW3" i="3"/>
  <c r="AX2" i="3"/>
  <c r="AV2" i="3"/>
  <c r="BT5" i="1"/>
  <c r="BP11" i="1"/>
  <c r="B7" i="3" a="1"/>
  <c r="B7" i="3" s="1"/>
  <c r="B12" i="1" a="1"/>
  <c r="B12" i="1" s="1"/>
  <c r="B11" i="1" a="1"/>
  <c r="B11" i="1" s="1"/>
  <c r="B10" i="1" a="1"/>
  <c r="B10" i="1" s="1"/>
  <c r="B9" i="1" a="1"/>
  <c r="B9" i="1" s="1"/>
  <c r="BS9" i="1"/>
  <c r="BR6" i="1"/>
  <c r="BP13" i="1"/>
  <c r="BQ12" i="1"/>
  <c r="AL3" i="3"/>
  <c r="BM4" i="1"/>
  <c r="BN16" i="1"/>
  <c r="BO3" i="1"/>
  <c r="BD9" i="1"/>
  <c r="AU7" i="3"/>
  <c r="BL21" i="1"/>
  <c r="D21" i="1" s="1"/>
  <c r="BK5" i="1"/>
  <c r="BJ16" i="1"/>
  <c r="AT13" i="3"/>
  <c r="AS2" i="3"/>
  <c r="BI10" i="1"/>
  <c r="BI8" i="1"/>
  <c r="BH21" i="1"/>
  <c r="BH17" i="1"/>
  <c r="BH2" i="1"/>
  <c r="BE3" i="1"/>
  <c r="AQ2" i="3"/>
  <c r="BG6" i="1"/>
  <c r="BF27" i="1"/>
  <c r="D27" i="1" s="1"/>
  <c r="B27" i="1"/>
  <c r="BE10" i="1"/>
  <c r="BE2" i="1"/>
  <c r="AR3" i="3"/>
  <c r="AP15" i="3"/>
  <c r="AN7" i="3"/>
  <c r="BD12" i="1"/>
  <c r="BB13" i="1"/>
  <c r="BC5" i="1"/>
  <c r="AO2" i="3"/>
  <c r="BB19" i="1"/>
  <c r="BA6" i="1"/>
  <c r="AM3" i="3"/>
  <c r="AN12" i="3"/>
  <c r="AN8" i="3"/>
  <c r="AZ3" i="1"/>
  <c r="AZ2" i="1"/>
  <c r="AP11" i="1"/>
  <c r="AR17" i="1"/>
  <c r="AY6" i="1"/>
  <c r="AH5" i="3"/>
  <c r="AX4" i="1"/>
  <c r="AW5" i="1"/>
  <c r="AV25" i="1"/>
  <c r="B25" i="1" s="1"/>
  <c r="AU8" i="1"/>
  <c r="AR14" i="1"/>
  <c r="AK9" i="3"/>
  <c r="AT20" i="1"/>
  <c r="AM6" i="1"/>
  <c r="AS8" i="1"/>
  <c r="AJ10" i="3"/>
  <c r="AI13" i="3"/>
  <c r="AQ2" i="1"/>
  <c r="AF3" i="3"/>
  <c r="AG4" i="3"/>
  <c r="AO10" i="1"/>
  <c r="AN16" i="1"/>
  <c r="AL9" i="1"/>
  <c r="AE6" i="3"/>
  <c r="AE2" i="3"/>
  <c r="AK24" i="1"/>
  <c r="AD3" i="3"/>
  <c r="AJ6" i="1"/>
  <c r="AE6" i="1"/>
  <c r="AI15" i="1"/>
  <c r="AI10" i="1"/>
  <c r="AI5" i="1"/>
  <c r="AI7" i="1"/>
  <c r="AI4" i="1"/>
  <c r="AI3" i="1"/>
  <c r="AI2" i="1"/>
  <c r="AC4" i="3"/>
  <c r="Z5" i="3"/>
  <c r="AB3" i="3"/>
  <c r="AH6" i="1"/>
  <c r="AG17" i="1"/>
  <c r="AF12" i="1"/>
  <c r="AF8" i="1"/>
  <c r="AA12" i="3"/>
  <c r="AE14" i="1"/>
  <c r="AE22" i="1"/>
  <c r="AE9" i="1"/>
  <c r="X8" i="1"/>
  <c r="W12" i="1"/>
  <c r="W9" i="1"/>
  <c r="AA8" i="1"/>
  <c r="AD17" i="1"/>
  <c r="AD16" i="1"/>
  <c r="AD15" i="1"/>
  <c r="AD11" i="1"/>
  <c r="AD8" i="1"/>
  <c r="AD10" i="1"/>
  <c r="AD5" i="1"/>
  <c r="AD4" i="1"/>
  <c r="AD3" i="1"/>
  <c r="AD2" i="1"/>
  <c r="Y14" i="3"/>
  <c r="Y6" i="3"/>
  <c r="Y4" i="3"/>
  <c r="Y2" i="3"/>
  <c r="Y5" i="3"/>
  <c r="Y10" i="3"/>
  <c r="B10" i="3" s="1"/>
  <c r="S5" i="1"/>
  <c r="N15" i="1"/>
  <c r="M5" i="1"/>
  <c r="H5" i="1"/>
  <c r="Y5" i="1"/>
  <c r="Y7" i="1"/>
  <c r="V4" i="3"/>
  <c r="AC13" i="1"/>
  <c r="AC11" i="1"/>
  <c r="AA4" i="1"/>
  <c r="AB6" i="1"/>
  <c r="X14" i="3"/>
  <c r="W3" i="3"/>
  <c r="AA15" i="1"/>
  <c r="AA10" i="1"/>
  <c r="V5" i="3"/>
  <c r="V3" i="3"/>
  <c r="S5" i="3"/>
  <c r="U7" i="3"/>
  <c r="T9" i="3"/>
  <c r="Z7" i="1"/>
  <c r="Z19" i="1"/>
  <c r="B19" i="1" s="1"/>
  <c r="S11" i="3"/>
  <c r="R4" i="3"/>
  <c r="H13" i="3"/>
  <c r="D13" i="3" s="1"/>
  <c r="Q13" i="3"/>
  <c r="Q3" i="3"/>
  <c r="Q5" i="3"/>
  <c r="Q7" i="3"/>
  <c r="N2" i="3"/>
  <c r="V28" i="1"/>
  <c r="B28" i="1" s="1"/>
  <c r="V20" i="1"/>
  <c r="V14" i="1"/>
  <c r="V12" i="1"/>
  <c r="V7" i="1"/>
  <c r="V3" i="1"/>
  <c r="V2" i="1"/>
  <c r="O11" i="3"/>
  <c r="L2" i="3"/>
  <c r="U23" i="1"/>
  <c r="Q23" i="1"/>
  <c r="P9" i="1"/>
  <c r="M4" i="3"/>
  <c r="T13" i="1"/>
  <c r="T11" i="1"/>
  <c r="T4" i="1"/>
  <c r="L5" i="3"/>
  <c r="L7" i="3"/>
  <c r="L6" i="3"/>
  <c r="L9" i="3"/>
  <c r="R20" i="1"/>
  <c r="R16" i="1"/>
  <c r="R7" i="1"/>
  <c r="R10" i="1"/>
  <c r="O2" i="1"/>
  <c r="L2" i="1"/>
  <c r="K11" i="3"/>
  <c r="J2" i="3"/>
  <c r="I7" i="3"/>
  <c r="N4" i="1"/>
  <c r="N18" i="1"/>
  <c r="E3" i="1"/>
  <c r="K3" i="1"/>
  <c r="J12" i="1"/>
  <c r="I6" i="1"/>
  <c r="B6" i="1" s="1" a="1"/>
  <c r="B6" i="1" s="1"/>
  <c r="G3" i="3"/>
  <c r="E2" i="3"/>
  <c r="D28" i="3" s="1" a="1"/>
  <c r="D28" i="3" s="1"/>
  <c r="F2" i="3"/>
  <c r="F9" i="3"/>
  <c r="F6" i="3"/>
  <c r="F11" i="3"/>
  <c r="H20" i="1"/>
  <c r="H18" i="1"/>
  <c r="G9" i="1"/>
  <c r="G13" i="1"/>
  <c r="G11" i="1"/>
  <c r="G17" i="1"/>
  <c r="F24" i="1"/>
  <c r="F22" i="1"/>
  <c r="E26" i="1"/>
  <c r="D26" i="1" s="1"/>
  <c r="E2" i="1"/>
  <c r="D8" i="3"/>
  <c r="D15" i="3"/>
  <c r="D16" i="3"/>
  <c r="D17" i="3"/>
  <c r="D18" i="3"/>
  <c r="D19" i="3"/>
  <c r="D20" i="3"/>
  <c r="D21" i="3"/>
  <c r="D22" i="3"/>
  <c r="D23" i="3"/>
  <c r="B8" i="3"/>
  <c r="B15" i="3"/>
  <c r="B16" i="3"/>
  <c r="B17" i="3"/>
  <c r="B18" i="3"/>
  <c r="B19" i="3"/>
  <c r="B20" i="3"/>
  <c r="B21" i="3"/>
  <c r="B22" i="3"/>
  <c r="B23" i="3"/>
  <c r="D34" i="1"/>
  <c r="D29" i="3"/>
  <c r="D33" i="1" l="1" a="1"/>
  <c r="D33" i="1" s="1"/>
  <c r="B5" i="1" a="1"/>
  <c r="B5" i="1" s="1"/>
  <c r="B4" i="1" a="1"/>
  <c r="B4" i="1" s="1"/>
  <c r="B8" i="1" a="1"/>
  <c r="B8" i="1" s="1"/>
  <c r="D25" i="1"/>
  <c r="B2" i="1" a="1"/>
  <c r="B2" i="1" s="1"/>
  <c r="B4" i="3" a="1"/>
  <c r="B4" i="3" s="1"/>
  <c r="D3" i="3"/>
  <c r="D12" i="3"/>
  <c r="D6" i="3"/>
  <c r="B12" i="3"/>
  <c r="B6" i="3"/>
  <c r="B14" i="3"/>
  <c r="B5" i="3" a="1"/>
  <c r="B5" i="3" s="1"/>
  <c r="B3" i="1" a="1"/>
  <c r="B3" i="1" s="1"/>
  <c r="B21" i="1"/>
  <c r="D11" i="1"/>
  <c r="B2" i="3" a="1"/>
  <c r="B2" i="3" s="1"/>
  <c r="B3" i="3" a="1"/>
  <c r="B3" i="3" s="1"/>
  <c r="B24" i="1"/>
  <c r="B14" i="1"/>
  <c r="B23" i="1"/>
  <c r="D18" i="1"/>
  <c r="D14" i="3"/>
  <c r="D10" i="3"/>
  <c r="B18" i="1"/>
  <c r="B16" i="1"/>
  <c r="B17" i="1"/>
  <c r="B15" i="1"/>
  <c r="B13" i="3"/>
  <c r="D11" i="3"/>
  <c r="D9" i="3"/>
  <c r="B7" i="1"/>
  <c r="D3" i="1"/>
  <c r="B20" i="1"/>
  <c r="B13" i="1"/>
  <c r="D4" i="3"/>
  <c r="D5" i="3"/>
  <c r="D7" i="3"/>
  <c r="D2" i="3"/>
  <c r="B9" i="3"/>
  <c r="B11" i="3"/>
  <c r="D9" i="1"/>
  <c r="B22" i="1"/>
  <c r="D2" i="1"/>
  <c r="B26" i="1"/>
  <c r="D17" i="1"/>
  <c r="D7" i="1"/>
  <c r="D24" i="1"/>
  <c r="D5" i="1"/>
  <c r="D16" i="1"/>
  <c r="D13" i="1"/>
  <c r="D23" i="1"/>
  <c r="D8" i="1"/>
  <c r="D22" i="1"/>
  <c r="D20" i="1"/>
  <c r="D28" i="1"/>
  <c r="D19" i="1"/>
  <c r="D15" i="1"/>
  <c r="D12" i="1"/>
  <c r="D6" i="1"/>
  <c r="D14" i="1"/>
  <c r="D10" i="1"/>
  <c r="D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<sst xmlns="http://schemas.openxmlformats.org/spreadsheetml/2006/main" count="164" uniqueCount="128">
  <si>
    <t>Place</t>
  </si>
  <si>
    <t>Points</t>
  </si>
  <si>
    <t>Nom</t>
  </si>
  <si>
    <t>Nombre courses</t>
  </si>
  <si>
    <t>ARNIAUD Eric</t>
  </si>
  <si>
    <t>LECAT Guillaume</t>
  </si>
  <si>
    <t>MOUNE Pascal</t>
  </si>
  <si>
    <t>AUGER Blaise</t>
  </si>
  <si>
    <t>BILLON Ludovic</t>
  </si>
  <si>
    <t>BILLON Alexia</t>
  </si>
  <si>
    <t>ABRACHY Franck</t>
  </si>
  <si>
    <t>DEPOYANT Cyril</t>
  </si>
  <si>
    <t>Foulée Ressource 04/10</t>
  </si>
  <si>
    <t>Monteux 04/10</t>
  </si>
  <si>
    <t>Salon 05/10</t>
  </si>
  <si>
    <t>LEDOUX Jean-Jacques</t>
  </si>
  <si>
    <t>CASTELLA Jason</t>
  </si>
  <si>
    <t>Cabries 12/10</t>
  </si>
  <si>
    <t>SERRES Vincent</t>
  </si>
  <si>
    <t>MERANDAT Marc</t>
  </si>
  <si>
    <t>ABRACHY Anais</t>
  </si>
  <si>
    <t>MERANDAT Valérie</t>
  </si>
  <si>
    <t>CARVHALO Tania</t>
  </si>
  <si>
    <t>Cabriès 12/10</t>
  </si>
  <si>
    <t>Chicago 12/10</t>
  </si>
  <si>
    <t>BOISSONT Sophie</t>
  </si>
  <si>
    <t>MARMOLLE Franck</t>
  </si>
  <si>
    <t>Rognac 18/10</t>
  </si>
  <si>
    <t>Albi 19/10</t>
  </si>
  <si>
    <t>PEREZ Philippe</t>
  </si>
  <si>
    <t>Anvers 19/10</t>
  </si>
  <si>
    <t>MK6 26/10</t>
  </si>
  <si>
    <t>PROUVENT Romain</t>
  </si>
  <si>
    <t>DAUBROSSE Olivier</t>
  </si>
  <si>
    <t>GAUNE Camille</t>
  </si>
  <si>
    <t>Puy Ste Réparade 2/11</t>
  </si>
  <si>
    <t>Ronde des vignes 02/11</t>
  </si>
  <si>
    <t>Veni vici 08/11</t>
  </si>
  <si>
    <t>MOE 09/11</t>
  </si>
  <si>
    <t>Nice-Cannes 09/11</t>
  </si>
  <si>
    <t>BIZOT Benjamin</t>
  </si>
  <si>
    <t>PAPETTI Frédéric</t>
  </si>
  <si>
    <t>DURANT Ludovic</t>
  </si>
  <si>
    <t>HOFFNER Manon</t>
  </si>
  <si>
    <t>VAUGIER Alix</t>
  </si>
  <si>
    <t>Pichauris 9/11</t>
  </si>
  <si>
    <t>Pichauris 8/11</t>
  </si>
  <si>
    <t>TANNIOU Yves</t>
  </si>
  <si>
    <t>Bacchantes 16/11</t>
  </si>
  <si>
    <t>St-Cannat 16/11</t>
  </si>
  <si>
    <t>MULDERMANS Franck</t>
  </si>
  <si>
    <t>GARCIA Pierre</t>
  </si>
  <si>
    <t>THP winter 22/11</t>
  </si>
  <si>
    <t>Trail nocturne BBA 30/11</t>
  </si>
  <si>
    <t>Eguilles 30/11</t>
  </si>
  <si>
    <t>Saintexpress 30/11</t>
  </si>
  <si>
    <t>SIMIONE Christelle</t>
  </si>
  <si>
    <t>Carro-Martigues 26/10</t>
  </si>
  <si>
    <t>Lambesc 7/12</t>
  </si>
  <si>
    <t>Hyeres 14/12</t>
  </si>
  <si>
    <t>ABALAIN Rémi</t>
  </si>
  <si>
    <t>Sausset 14/12</t>
  </si>
  <si>
    <t>Fuvelaine 04/01</t>
  </si>
  <si>
    <t>Trail urbain Montpellier 10/01</t>
  </si>
  <si>
    <t>SANSONE Laure</t>
  </si>
  <si>
    <t>Gardanne 11/01</t>
  </si>
  <si>
    <t>Trail Urbain Montpeller 10/01</t>
  </si>
  <si>
    <t>Salon 01/02</t>
  </si>
  <si>
    <t>GORI Christophe</t>
  </si>
  <si>
    <t>Semi Durance 09/11</t>
  </si>
  <si>
    <t>Trail catheliere 26/10</t>
  </si>
  <si>
    <t>BILLON Romane</t>
  </si>
  <si>
    <t>CORDESSE Romain</t>
  </si>
  <si>
    <t>Eguilles 29/11</t>
  </si>
  <si>
    <t>Aix-Marseille 01/03</t>
  </si>
  <si>
    <t>Greasque 08/03</t>
  </si>
  <si>
    <t>BILLON Alice</t>
  </si>
  <si>
    <t>Signes 08/03</t>
  </si>
  <si>
    <t>Lezardrieux 08/03</t>
  </si>
  <si>
    <t>Barcelone 15/03</t>
  </si>
  <si>
    <t>Aigues-Mortes 21/03</t>
  </si>
  <si>
    <t>Rome 22/03</t>
  </si>
  <si>
    <t>Hyères 05/04</t>
  </si>
  <si>
    <t>Oléron 04/04</t>
  </si>
  <si>
    <t>Faron 05/04</t>
  </si>
  <si>
    <t>Western 11/04</t>
  </si>
  <si>
    <t>Marseille 12/04</t>
  </si>
  <si>
    <t>Peyruis 12/04</t>
  </si>
  <si>
    <t>5 Calanques 12/04</t>
  </si>
  <si>
    <t>Cavaillon 12/04</t>
  </si>
  <si>
    <t>Ste-Victoire 12/04</t>
  </si>
  <si>
    <t>Paris 12/04</t>
  </si>
  <si>
    <t>Carry 19/04</t>
  </si>
  <si>
    <t>Semi indigo 19/04</t>
  </si>
  <si>
    <t>LE FAVEUR Yann</t>
  </si>
  <si>
    <t>Semi Nice 19/04</t>
  </si>
  <si>
    <t>Palandru 19/04</t>
  </si>
  <si>
    <t>Boston 21/04</t>
  </si>
  <si>
    <t>Carces 26/04</t>
  </si>
  <si>
    <t>Brignoles 02/05</t>
  </si>
  <si>
    <t>Sisteron 01/05</t>
  </si>
  <si>
    <t>DUPLAND Hélène</t>
  </si>
  <si>
    <t>Castellas 09/05</t>
  </si>
  <si>
    <t>Maures 14/05</t>
  </si>
  <si>
    <t>THP 16/05</t>
  </si>
  <si>
    <t>Semi 3C 17/05</t>
  </si>
  <si>
    <t>BANEGAS Gabrielle</t>
  </si>
  <si>
    <t>Grappes 23/05</t>
  </si>
  <si>
    <t>Ventoux 24/05</t>
  </si>
  <si>
    <t>Martigues 24/05</t>
  </si>
  <si>
    <t>PEREZ Thomas</t>
  </si>
  <si>
    <t>Venelles 31/05</t>
  </si>
  <si>
    <t>ROS Lionel</t>
  </si>
  <si>
    <t>Villaure 07/06</t>
  </si>
  <si>
    <t>Cotignac 07/06</t>
  </si>
  <si>
    <t>Pierrelatte 07/06</t>
  </si>
  <si>
    <t>St-Antoine 14/06</t>
  </si>
  <si>
    <t>Embruns 14/06</t>
  </si>
  <si>
    <t>Trail Noyer 20/06</t>
  </si>
  <si>
    <t>Esterel 21/06</t>
  </si>
  <si>
    <t>Nevache 21/06</t>
  </si>
  <si>
    <t>Puyricard 27/06</t>
  </si>
  <si>
    <t>Martigues Carro 21/06</t>
  </si>
  <si>
    <t>TGV 05/07</t>
  </si>
  <si>
    <t>THV 05/07</t>
  </si>
  <si>
    <t>Sierre-Zinal 08/08</t>
  </si>
  <si>
    <t>Trail Etoile 16/08</t>
  </si>
  <si>
    <t>Trail Etoiles 16/08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</si>
</sst>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 shrinkToFit="1"/>
    </xf>
    <xf numFmtId="0" fontId="0" fillId="3" borderId="0" xfId="0" applyFill="1"/>
    <xf numFmtId="0" fontId="0" fillId="4" borderId="0" xfId="0" applyFill="1"/>
    <xf numFmtId="0" fontId="0" fillId="0" borderId="1" xfId="0" applyBorder="1"/>
    <xf numFmtId="1" fontId="0" fillId="0" borderId="1" xfId="0" applyNumberFormat="1" applyBorder="1"/>
    <xf numFmtId="8" fontId="1" fillId="2" borderId="2" xfId="0" applyNumberFormat="1" applyFont="1" applyFill="1" applyBorder="1" applyAlignment="1">
      <alignment wrapText="1" shrinkToFi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34"/>
  <sheetViews>
    <sheetView tabSelected="1" workbookViewId="0">
      <pane xSplit="4" ySplit="1" topLeftCell="BG2" activePane="bottomRight" state="frozenSplit"/>
      <selection pane="topRight" activeCell="F1" sqref="F1"/>
      <selection pane="bottomLeft" activeCell="A2" sqref="A2"/>
      <selection pane="bottomRight" activeCell="BU10" sqref="BU10"/>
    </sheetView>
  </sheetViews>
  <sheetFormatPr baseColWidth="10" defaultRowHeight="15" x14ac:dyDescent="0.25"/>
  <cols>
    <col min="1" max="1" width="8" bestFit="1" customWidth="1"/>
    <col min="2" max="2" width="8.85546875" bestFit="1" customWidth="1"/>
    <col min="3" max="3" width="20.140625" bestFit="1" customWidth="1"/>
    <col min="4" max="4" width="17.7109375" bestFit="1" customWidth="1"/>
    <col min="5" max="5" width="22.140625" bestFit="1" customWidth="1"/>
    <col min="6" max="6" width="14.42578125" bestFit="1" customWidth="1"/>
    <col min="7" max="7" width="11.140625" bestFit="1" customWidth="1"/>
    <col min="8" max="8" width="12.85546875" bestFit="1" customWidth="1"/>
    <col min="9" max="9" width="13.140625" bestFit="1" customWidth="1"/>
    <col min="10" max="10" width="12.5703125" bestFit="1" customWidth="1"/>
    <col min="11" max="11" width="9.85546875" bestFit="1" customWidth="1"/>
    <col min="12" max="12" width="12.42578125" bestFit="1" customWidth="1"/>
    <col min="13" max="13" width="12.42578125" customWidth="1"/>
    <col min="14" max="14" width="10.28515625" bestFit="1" customWidth="1"/>
    <col min="15" max="15" width="22" bestFit="1" customWidth="1"/>
    <col min="16" max="16" width="14.28515625" bestFit="1" customWidth="1"/>
    <col min="17" max="17" width="13.28515625" bestFit="1" customWidth="1"/>
    <col min="18" max="18" width="10.5703125" bestFit="1" customWidth="1"/>
    <col min="19" max="19" width="10.5703125" customWidth="1"/>
    <col min="20" max="20" width="12.140625" bestFit="1" customWidth="1"/>
    <col min="21" max="21" width="13.28515625" bestFit="1" customWidth="1"/>
    <col min="22" max="22" width="9.5703125" bestFit="1" customWidth="1"/>
    <col min="23" max="24" width="10.7109375" bestFit="1" customWidth="1"/>
    <col min="25" max="25" width="12.85546875" bestFit="1" customWidth="1"/>
    <col min="26" max="26" width="12.42578125" bestFit="1" customWidth="1"/>
    <col min="27" max="27" width="15" bestFit="1" customWidth="1"/>
    <col min="28" max="28" width="14" bestFit="1" customWidth="1"/>
    <col min="29" max="29" width="14.140625" bestFit="1" customWidth="1"/>
    <col min="30" max="30" width="13" bestFit="1" customWidth="1"/>
    <col min="31" max="31" width="12.42578125" bestFit="1" customWidth="1"/>
    <col min="32" max="32" width="12.140625" bestFit="1" customWidth="1"/>
    <col min="33" max="33" width="13.5703125" bestFit="1" customWidth="1"/>
    <col min="34" max="34" width="10.28515625" bestFit="1" customWidth="1"/>
    <col min="35" max="35" width="12.7109375" bestFit="1" customWidth="1"/>
    <col min="36" max="36" width="9.7109375" bestFit="1" customWidth="1"/>
    <col min="37" max="37" width="12.42578125" customWidth="1"/>
    <col min="38" max="38" width="7.5703125" bestFit="1" customWidth="1"/>
    <col min="39" max="39" width="11.85546875" bestFit="1" customWidth="1"/>
    <col min="40" max="41" width="10.5703125" bestFit="1" customWidth="1"/>
    <col min="42" max="42" width="10.7109375" bestFit="1" customWidth="1"/>
    <col min="43" max="43" width="13.42578125" bestFit="1" customWidth="1"/>
    <col min="44" max="44" width="11.5703125" customWidth="1"/>
    <col min="45" max="45" width="9.5703125" bestFit="1" customWidth="1"/>
    <col min="46" max="46" width="7.140625" bestFit="1" customWidth="1"/>
    <col min="47" max="47" width="9.28515625" bestFit="1" customWidth="1"/>
    <col min="48" max="48" width="9.5703125" bestFit="1" customWidth="1"/>
    <col min="49" max="49" width="9.85546875" bestFit="1" customWidth="1"/>
    <col min="50" max="50" width="8.28515625" bestFit="1" customWidth="1"/>
    <col min="51" max="51" width="14.140625" bestFit="1" customWidth="1"/>
    <col min="52" max="52" width="9.85546875" bestFit="1" customWidth="1"/>
    <col min="53" max="53" width="14.140625" bestFit="1" customWidth="1"/>
    <col min="54" max="54" width="14.5703125" bestFit="1" customWidth="1"/>
    <col min="55" max="55" width="14.140625" bestFit="1" customWidth="1"/>
    <col min="56" max="56" width="15.5703125" bestFit="1" customWidth="1"/>
    <col min="57" max="57" width="12.7109375" bestFit="1" customWidth="1"/>
    <col min="58" max="58" width="15.5703125" bestFit="1" customWidth="1"/>
    <col min="59" max="59" width="16.42578125" customWidth="1"/>
    <col min="60" max="60" width="14.42578125" bestFit="1" customWidth="1"/>
    <col min="61" max="61" width="13.5703125" bestFit="1" customWidth="1"/>
    <col min="62" max="62" width="13.5703125" customWidth="1"/>
    <col min="63" max="63" width="13" bestFit="1" customWidth="1"/>
    <col min="64" max="64" width="14.42578125" bestFit="1" customWidth="1"/>
    <col min="65" max="65" width="15.42578125" bestFit="1" customWidth="1"/>
    <col min="66" max="66" width="16.140625" bestFit="1" customWidth="1"/>
    <col min="67" max="67" width="13.5703125" bestFit="1" customWidth="1"/>
    <col min="68" max="68" width="13.5703125" customWidth="1"/>
    <col min="69" max="69" width="14.85546875" bestFit="1" customWidth="1"/>
    <col min="70" max="70" width="12.7109375" bestFit="1" customWidth="1"/>
    <col min="71" max="71" width="9.85546875" bestFit="1" customWidth="1"/>
    <col min="72" max="72" width="11.28515625" bestFit="1" customWidth="1"/>
    <col min="73" max="77" width="15.5703125" customWidth="1"/>
  </cols>
  <sheetData>
    <row r="1" spans="1:7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12</v>
      </c>
      <c r="F1" s="2" t="s">
        <v>13</v>
      </c>
      <c r="G1" s="2" t="s">
        <v>14</v>
      </c>
      <c r="H1" s="2" t="s">
        <v>17</v>
      </c>
      <c r="I1" s="2" t="s">
        <v>24</v>
      </c>
      <c r="J1" s="1" t="s">
        <v>27</v>
      </c>
      <c r="K1" s="1" t="s">
        <v>28</v>
      </c>
      <c r="L1" s="4" t="s">
        <v>30</v>
      </c>
      <c r="M1" s="3" t="s">
        <v>70</v>
      </c>
      <c r="N1" s="2" t="s">
        <v>31</v>
      </c>
      <c r="O1" s="1" t="s">
        <v>36</v>
      </c>
      <c r="P1" s="3" t="s">
        <v>37</v>
      </c>
      <c r="Q1" s="3" t="s">
        <v>46</v>
      </c>
      <c r="R1" s="3" t="s">
        <v>38</v>
      </c>
      <c r="S1" s="3" t="s">
        <v>69</v>
      </c>
      <c r="T1" s="5" t="s">
        <v>39</v>
      </c>
      <c r="U1" s="5" t="s">
        <v>45</v>
      </c>
      <c r="V1" s="5" t="s">
        <v>48</v>
      </c>
      <c r="W1" s="5" t="s">
        <v>52</v>
      </c>
      <c r="X1" s="5" t="s">
        <v>73</v>
      </c>
      <c r="Y1" s="5" t="s">
        <v>58</v>
      </c>
      <c r="Z1" s="5" t="s">
        <v>59</v>
      </c>
      <c r="AA1" s="5" t="s">
        <v>62</v>
      </c>
      <c r="AB1" s="5" t="s">
        <v>66</v>
      </c>
      <c r="AC1" s="5" t="s">
        <v>65</v>
      </c>
      <c r="AD1" s="5" t="s">
        <v>67</v>
      </c>
      <c r="AE1" s="5" t="s">
        <v>74</v>
      </c>
      <c r="AF1" s="5" t="s">
        <v>75</v>
      </c>
      <c r="AG1" s="5" t="s">
        <v>77</v>
      </c>
      <c r="AH1" s="5" t="s">
        <v>78</v>
      </c>
      <c r="AI1" s="5" t="s">
        <v>79</v>
      </c>
      <c r="AJ1" s="5" t="s">
        <v>80</v>
      </c>
      <c r="AK1" s="5" t="s">
        <v>81</v>
      </c>
      <c r="AL1" s="5" t="s">
        <v>83</v>
      </c>
      <c r="AM1" s="5" t="s">
        <v>82</v>
      </c>
      <c r="AN1" s="5" t="s">
        <v>84</v>
      </c>
      <c r="AO1" s="5" t="s">
        <v>85</v>
      </c>
      <c r="AP1" s="5" t="s">
        <v>86</v>
      </c>
      <c r="AQ1" s="5" t="s">
        <v>87</v>
      </c>
      <c r="AR1" s="5" t="s">
        <v>90</v>
      </c>
      <c r="AS1" s="5" t="s">
        <v>89</v>
      </c>
      <c r="AT1" s="5" t="s">
        <v>91</v>
      </c>
      <c r="AU1" s="5" t="s">
        <v>92</v>
      </c>
      <c r="AV1" s="5" t="s">
        <v>93</v>
      </c>
      <c r="AW1" s="5" t="s">
        <v>95</v>
      </c>
      <c r="AX1" s="5" t="s">
        <v>96</v>
      </c>
      <c r="AY1" s="5" t="s">
        <v>97</v>
      </c>
      <c r="AZ1" s="5" t="s">
        <v>98</v>
      </c>
      <c r="BA1" s="5" t="s">
        <v>100</v>
      </c>
      <c r="BB1" s="5" t="s">
        <v>99</v>
      </c>
      <c r="BC1" s="5" t="s">
        <v>103</v>
      </c>
      <c r="BD1" s="5" t="s">
        <v>104</v>
      </c>
      <c r="BE1" s="5" t="s">
        <v>107</v>
      </c>
      <c r="BF1" s="5" t="s">
        <v>109</v>
      </c>
      <c r="BG1" s="5" t="s">
        <v>108</v>
      </c>
      <c r="BH1" s="5" t="s">
        <v>111</v>
      </c>
      <c r="BI1" s="5" t="s">
        <v>113</v>
      </c>
      <c r="BJ1" s="5" t="s">
        <v>115</v>
      </c>
      <c r="BK1" s="5" t="s">
        <v>116</v>
      </c>
      <c r="BL1" s="5" t="s">
        <v>117</v>
      </c>
      <c r="BM1" s="5" t="s">
        <v>118</v>
      </c>
      <c r="BN1" s="5" t="s">
        <v>119</v>
      </c>
      <c r="BO1" s="10" t="s">
        <v>120</v>
      </c>
      <c r="BP1" s="10" t="s">
        <v>122</v>
      </c>
      <c r="BQ1" s="10" t="s">
        <v>121</v>
      </c>
      <c r="BR1" s="10" t="s">
        <v>123</v>
      </c>
      <c r="BS1" s="5" t="s">
        <v>124</v>
      </c>
      <c r="BT1" s="5" t="s">
        <v>125</v>
      </c>
      <c r="BU1" s="5" t="s">
        <v>127</v>
      </c>
      <c r="BV1" s="5"/>
      <c r="BW1" s="5"/>
      <c r="BX1" s="5"/>
      <c r="BY1" s="5"/>
    </row>
    <row r="2" spans="1:77" x14ac:dyDescent="0.25">
      <c r="A2" s="8">
        <v>1</v>
      </c>
      <c r="B2" s="9" cm="1">
        <f t="array" ref="B2">SUMPRODUCT((E2:BY2)*(E2:BY2&gt;=LARGE(E2:BY2,6)))</f>
        <v>2625</v>
      </c>
      <c r="C2" s="8" t="s">
        <v>4</v>
      </c>
      <c r="D2" s="8">
        <f t="shared" ref="D2:D28" si="0">IF(COUNT(E2:BY2)&gt;100,100,COUNT(E2:BY2))</f>
        <v>10</v>
      </c>
      <c r="E2" s="8">
        <f>ROUND((439-22)*400/439,0)+100</f>
        <v>480</v>
      </c>
      <c r="F2" s="8"/>
      <c r="G2" s="8"/>
      <c r="H2" s="8"/>
      <c r="I2" s="8"/>
      <c r="J2" s="8"/>
      <c r="K2" s="8"/>
      <c r="L2" s="8">
        <f>ROUND((9964-354)*400/9964,0)</f>
        <v>386</v>
      </c>
      <c r="M2" s="8"/>
      <c r="N2" s="8"/>
      <c r="O2" s="8">
        <f>ROUND((1275-40)*400/1275,0)+50</f>
        <v>437</v>
      </c>
      <c r="P2" s="8"/>
      <c r="Q2" s="8"/>
      <c r="R2" s="8"/>
      <c r="S2" s="8"/>
      <c r="T2" s="8"/>
      <c r="U2" s="8"/>
      <c r="V2" s="8">
        <f>ROUND((1872-35)*400/1872,0)+100</f>
        <v>493</v>
      </c>
      <c r="W2" s="8"/>
      <c r="X2" s="8"/>
      <c r="Y2" s="8"/>
      <c r="Z2" s="8"/>
      <c r="AA2" s="8"/>
      <c r="AB2" s="8"/>
      <c r="AC2" s="8"/>
      <c r="AD2" s="8">
        <f>ROUND((845-109)*400/845,0)+50</f>
        <v>398</v>
      </c>
      <c r="AE2" s="8"/>
      <c r="AF2" s="8"/>
      <c r="AG2" s="8"/>
      <c r="AH2" s="8"/>
      <c r="AI2" s="8">
        <f>ROUND((31652-4995)*400/31652,0)</f>
        <v>337</v>
      </c>
      <c r="AJ2" s="8"/>
      <c r="AK2" s="8"/>
      <c r="AL2" s="8"/>
      <c r="AM2" s="8"/>
      <c r="AN2" s="8"/>
      <c r="AO2" s="8"/>
      <c r="AP2" s="8"/>
      <c r="AQ2" s="8">
        <f>155-13+50</f>
        <v>192</v>
      </c>
      <c r="AR2" s="9"/>
      <c r="AS2" s="8"/>
      <c r="AT2" s="8"/>
      <c r="AU2" s="8"/>
      <c r="AV2" s="8"/>
      <c r="AW2" s="8"/>
      <c r="AX2" s="8"/>
      <c r="AY2" s="8"/>
      <c r="AZ2" s="8">
        <f>174-14+100</f>
        <v>260</v>
      </c>
      <c r="BA2" s="8"/>
      <c r="BB2" s="8"/>
      <c r="BC2" s="8"/>
      <c r="BD2" s="8"/>
      <c r="BE2" s="8">
        <f>286-4+100</f>
        <v>382</v>
      </c>
      <c r="BF2" s="8"/>
      <c r="BG2" s="8"/>
      <c r="BH2" s="8">
        <f>349-18+100</f>
        <v>431</v>
      </c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</row>
    <row r="3" spans="1:77" x14ac:dyDescent="0.25">
      <c r="A3" s="8">
        <v>2</v>
      </c>
      <c r="B3" s="9" cm="1">
        <f t="array" ref="B3">SUMPRODUCT((E3:BY3)*(E3:BY3&gt;=LARGE(E3:BY3,6)))</f>
        <v>2604</v>
      </c>
      <c r="C3" s="8" t="s">
        <v>11</v>
      </c>
      <c r="D3" s="8">
        <f t="shared" si="0"/>
        <v>8</v>
      </c>
      <c r="E3" s="8">
        <f>ROUND((439-5)*400/439,0)+100</f>
        <v>495</v>
      </c>
      <c r="F3" s="8"/>
      <c r="G3" s="8"/>
      <c r="H3" s="8"/>
      <c r="I3" s="8"/>
      <c r="J3" s="8"/>
      <c r="K3" s="8">
        <f>392-38</f>
        <v>354</v>
      </c>
      <c r="L3" s="8"/>
      <c r="M3" s="8"/>
      <c r="N3" s="8"/>
      <c r="O3" s="8"/>
      <c r="P3" s="8"/>
      <c r="Q3" s="8"/>
      <c r="R3" s="8"/>
      <c r="S3" s="8"/>
      <c r="T3" s="8"/>
      <c r="U3" s="8"/>
      <c r="V3" s="8">
        <f>ROUND((1872-15)*400/1872,0)+50</f>
        <v>447</v>
      </c>
      <c r="W3" s="8"/>
      <c r="X3" s="8"/>
      <c r="Y3" s="8"/>
      <c r="Z3" s="8"/>
      <c r="AA3" s="8"/>
      <c r="AB3" s="8"/>
      <c r="AC3" s="8"/>
      <c r="AD3" s="8">
        <f>ROUND((845-38)*400/845,0)+20</f>
        <v>402</v>
      </c>
      <c r="AE3" s="8"/>
      <c r="AF3" s="8"/>
      <c r="AG3" s="8"/>
      <c r="AH3" s="8"/>
      <c r="AI3" s="8">
        <f>ROUND((31652-1337)*400/31652,0)</f>
        <v>383</v>
      </c>
      <c r="AJ3" s="8"/>
      <c r="AK3" s="8"/>
      <c r="AL3" s="8"/>
      <c r="AM3" s="8"/>
      <c r="AN3" s="8"/>
      <c r="AO3" s="8"/>
      <c r="AP3" s="8"/>
      <c r="AQ3" s="8"/>
      <c r="AR3" s="9"/>
      <c r="AS3" s="8"/>
      <c r="AT3" s="8"/>
      <c r="AU3" s="8"/>
      <c r="AV3" s="8"/>
      <c r="AW3" s="8"/>
      <c r="AX3" s="8"/>
      <c r="AY3" s="8"/>
      <c r="AZ3" s="8">
        <f>174-6+100</f>
        <v>268</v>
      </c>
      <c r="BA3" s="8"/>
      <c r="BB3" s="8"/>
      <c r="BC3" s="8"/>
      <c r="BD3" s="8"/>
      <c r="BE3" s="8">
        <f>286-3+150</f>
        <v>433</v>
      </c>
      <c r="BF3" s="8"/>
      <c r="BG3" s="8"/>
      <c r="BH3" s="8"/>
      <c r="BI3" s="8"/>
      <c r="BJ3" s="8"/>
      <c r="BK3" s="8"/>
      <c r="BL3" s="8"/>
      <c r="BM3" s="8"/>
      <c r="BN3" s="8"/>
      <c r="BO3" s="8">
        <f>ROUND((516-8)*400/516,0)+50</f>
        <v>444</v>
      </c>
      <c r="BP3" s="8"/>
      <c r="BQ3" s="8"/>
      <c r="BR3" s="8"/>
      <c r="BS3" s="8"/>
      <c r="BT3" s="8"/>
      <c r="BU3" s="8"/>
      <c r="BV3" s="8"/>
      <c r="BW3" s="8"/>
      <c r="BX3" s="8"/>
      <c r="BY3" s="8"/>
    </row>
    <row r="4" spans="1:77" x14ac:dyDescent="0.25">
      <c r="A4" s="8">
        <v>3</v>
      </c>
      <c r="B4" s="9" cm="1">
        <f t="array" ref="B4">SUMPRODUCT((E4:BY4)*(E4:BY4&gt;=LARGE(E4:BY4,6)))</f>
        <v>2388</v>
      </c>
      <c r="C4" s="8" t="s">
        <v>32</v>
      </c>
      <c r="D4" s="8">
        <f t="shared" si="0"/>
        <v>7</v>
      </c>
      <c r="E4" s="8"/>
      <c r="F4" s="8"/>
      <c r="G4" s="8"/>
      <c r="H4" s="8"/>
      <c r="I4" s="8"/>
      <c r="J4" s="8"/>
      <c r="K4" s="8"/>
      <c r="L4" s="8"/>
      <c r="M4" s="8"/>
      <c r="N4" s="8">
        <f>ROUND((19763-269)*400/19763,0)</f>
        <v>395</v>
      </c>
      <c r="O4" s="8"/>
      <c r="P4" s="8"/>
      <c r="Q4" s="8"/>
      <c r="R4" s="8"/>
      <c r="S4" s="8"/>
      <c r="T4" s="8">
        <f>ROUND((937-32)*400/937,0)</f>
        <v>386</v>
      </c>
      <c r="U4" s="8"/>
      <c r="V4" s="8"/>
      <c r="W4" s="8"/>
      <c r="X4" s="8"/>
      <c r="Y4" s="8"/>
      <c r="Z4" s="8"/>
      <c r="AA4" s="8">
        <f>ROUND((551-16)*400/551,0)+50</f>
        <v>438</v>
      </c>
      <c r="AB4" s="8"/>
      <c r="AC4" s="8"/>
      <c r="AD4" s="8">
        <f>ROUND((845-50)*400/845,0)</f>
        <v>376</v>
      </c>
      <c r="AE4" s="8"/>
      <c r="AF4" s="8"/>
      <c r="AG4" s="8"/>
      <c r="AH4" s="8"/>
      <c r="AI4" s="8">
        <f>ROUND((31652-845)*400/31652,0)</f>
        <v>389</v>
      </c>
      <c r="AJ4" s="8"/>
      <c r="AK4" s="8"/>
      <c r="AL4" s="8"/>
      <c r="AM4" s="8"/>
      <c r="AN4" s="8"/>
      <c r="AO4" s="8"/>
      <c r="AP4" s="8"/>
      <c r="AQ4" s="8"/>
      <c r="AR4" s="9"/>
      <c r="AS4" s="8"/>
      <c r="AT4" s="8"/>
      <c r="AU4" s="8"/>
      <c r="AV4" s="8"/>
      <c r="AW4" s="8"/>
      <c r="AX4" s="8">
        <f>ROUND((715-28)*400/715,0)+20</f>
        <v>404</v>
      </c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>
        <f>128-14+20</f>
        <v>134</v>
      </c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x14ac:dyDescent="0.25">
      <c r="A5" s="8">
        <v>4</v>
      </c>
      <c r="B5" s="9" cm="1">
        <f t="array" ref="B5">SUMPRODUCT((E5:BY5)*(E5:BY5&gt;=LARGE(E5:BY5,6)))</f>
        <v>2029</v>
      </c>
      <c r="C5" s="8" t="s">
        <v>68</v>
      </c>
      <c r="D5" s="8">
        <f t="shared" si="0"/>
        <v>10</v>
      </c>
      <c r="E5" s="8"/>
      <c r="F5" s="8"/>
      <c r="G5" s="8"/>
      <c r="H5" s="8">
        <f>294-49</f>
        <v>245</v>
      </c>
      <c r="I5" s="8"/>
      <c r="J5" s="8"/>
      <c r="K5" s="8"/>
      <c r="L5" s="8"/>
      <c r="M5" s="8">
        <f>145-34</f>
        <v>111</v>
      </c>
      <c r="N5" s="8"/>
      <c r="O5" s="8"/>
      <c r="P5" s="8"/>
      <c r="Q5" s="8"/>
      <c r="R5" s="8"/>
      <c r="S5" s="8">
        <f>ROUND((559-33)*400/559,0)+20</f>
        <v>396</v>
      </c>
      <c r="T5" s="8"/>
      <c r="U5" s="8"/>
      <c r="V5" s="8"/>
      <c r="W5" s="8"/>
      <c r="X5" s="8"/>
      <c r="Y5" s="8">
        <f>ROUND((619-91)*400/619,0)</f>
        <v>341</v>
      </c>
      <c r="Z5" s="8"/>
      <c r="AA5" s="8"/>
      <c r="AB5" s="8"/>
      <c r="AC5" s="8"/>
      <c r="AD5" s="8">
        <f>ROUND((845-181)*400/845,0)</f>
        <v>314</v>
      </c>
      <c r="AE5" s="8"/>
      <c r="AF5" s="8"/>
      <c r="AG5" s="8"/>
      <c r="AH5" s="8"/>
      <c r="AI5" s="8">
        <f>ROUND((31652-3141)*400/31652,0)</f>
        <v>360</v>
      </c>
      <c r="AJ5" s="8"/>
      <c r="AK5" s="8"/>
      <c r="AL5" s="8"/>
      <c r="AM5" s="8"/>
      <c r="AN5" s="8"/>
      <c r="AO5" s="8"/>
      <c r="AP5" s="8"/>
      <c r="AQ5" s="8"/>
      <c r="AR5" s="9"/>
      <c r="AS5" s="8"/>
      <c r="AT5" s="8"/>
      <c r="AU5" s="8"/>
      <c r="AV5" s="8"/>
      <c r="AW5" s="8">
        <f>ROUND((7738-524)*400/7738,0)</f>
        <v>373</v>
      </c>
      <c r="AX5" s="8"/>
      <c r="AY5" s="8"/>
      <c r="AZ5" s="8"/>
      <c r="BA5" s="8"/>
      <c r="BB5" s="8"/>
      <c r="BC5" s="8">
        <f>86-18</f>
        <v>68</v>
      </c>
      <c r="BD5" s="8"/>
      <c r="BE5" s="8"/>
      <c r="BF5" s="8"/>
      <c r="BG5" s="8"/>
      <c r="BH5" s="8"/>
      <c r="BI5" s="8"/>
      <c r="BJ5" s="8"/>
      <c r="BK5" s="8">
        <f>144-36+50</f>
        <v>158</v>
      </c>
      <c r="BL5" s="8"/>
      <c r="BM5" s="8"/>
      <c r="BN5" s="8"/>
      <c r="BO5" s="8"/>
      <c r="BP5" s="8"/>
      <c r="BQ5" s="8"/>
      <c r="BR5" s="8"/>
      <c r="BS5" s="8"/>
      <c r="BT5" s="8">
        <f>ROUND((1637-913)*400/1637,0)</f>
        <v>177</v>
      </c>
      <c r="BU5" s="8"/>
      <c r="BV5" s="8"/>
      <c r="BW5" s="8"/>
      <c r="BX5" s="8"/>
      <c r="BY5" s="8"/>
    </row>
    <row r="6" spans="1:77" x14ac:dyDescent="0.25">
      <c r="A6" s="8">
        <v>5</v>
      </c>
      <c r="B6" s="9" cm="1">
        <f t="array" ref="B6">SUMPRODUCT((E6:BY6)*(E6:BY6&gt;=LARGE(E6:BY6,6)))</f>
        <v>1986</v>
      </c>
      <c r="C6" s="8" t="s">
        <v>26</v>
      </c>
      <c r="D6" s="8">
        <f t="shared" si="0"/>
        <v>10</v>
      </c>
      <c r="E6" s="8"/>
      <c r="F6" s="8"/>
      <c r="G6" s="8"/>
      <c r="H6" s="8"/>
      <c r="I6" s="8">
        <f>ROUND((54282-10885)*400/54282,0)</f>
        <v>320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f>364-148</f>
        <v>216</v>
      </c>
      <c r="AC6" s="8"/>
      <c r="AD6" s="8"/>
      <c r="AE6" s="8">
        <f>ROUND((702-137)*400/702,0)</f>
        <v>322</v>
      </c>
      <c r="AF6" s="8"/>
      <c r="AG6" s="8"/>
      <c r="AH6" s="8">
        <f>173-29+50</f>
        <v>194</v>
      </c>
      <c r="AI6" s="8"/>
      <c r="AJ6" s="8">
        <f>ROUND((540-31)*400/540,0)+50</f>
        <v>427</v>
      </c>
      <c r="AK6" s="8"/>
      <c r="AL6" s="8"/>
      <c r="AM6" s="8">
        <f>ROUND((1213-180)*400/1213,0)</f>
        <v>341</v>
      </c>
      <c r="AN6" s="8"/>
      <c r="AO6" s="8"/>
      <c r="AP6" s="8"/>
      <c r="AQ6" s="8"/>
      <c r="AR6" s="9"/>
      <c r="AS6" s="8"/>
      <c r="AT6" s="8"/>
      <c r="AU6" s="8"/>
      <c r="AV6" s="8"/>
      <c r="AW6" s="8"/>
      <c r="AX6" s="8"/>
      <c r="AY6" s="8">
        <f>ROUND((32395-18238)*400/32395,0)</f>
        <v>175</v>
      </c>
      <c r="AZ6" s="8"/>
      <c r="BA6" s="8">
        <f>272-22+100</f>
        <v>350</v>
      </c>
      <c r="BB6" s="8"/>
      <c r="BC6" s="8"/>
      <c r="BD6" s="8"/>
      <c r="BE6" s="8"/>
      <c r="BF6" s="8"/>
      <c r="BG6" s="8">
        <f>172-118</f>
        <v>54</v>
      </c>
      <c r="BH6" s="8"/>
      <c r="BI6" s="8"/>
      <c r="BJ6" s="8"/>
      <c r="BK6" s="8"/>
      <c r="BL6" s="8"/>
      <c r="BM6" s="8"/>
      <c r="BN6" s="8"/>
      <c r="BO6" s="8"/>
      <c r="BP6" s="8"/>
      <c r="BQ6" s="8"/>
      <c r="BR6" s="8">
        <f>186-10+50</f>
        <v>226</v>
      </c>
      <c r="BS6" s="8"/>
      <c r="BT6" s="8"/>
      <c r="BU6" s="8"/>
      <c r="BV6" s="8"/>
      <c r="BW6" s="8"/>
      <c r="BX6" s="8"/>
      <c r="BY6" s="8"/>
    </row>
    <row r="7" spans="1:77" x14ac:dyDescent="0.25">
      <c r="A7" s="8">
        <v>6</v>
      </c>
      <c r="B7" s="9">
        <f>SUM((E7:BY7))</f>
        <v>1852</v>
      </c>
      <c r="C7" s="8" t="s">
        <v>41</v>
      </c>
      <c r="D7" s="8">
        <f t="shared" si="0"/>
        <v>5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f>ROUND((1727-74)*400/1727,0)</f>
        <v>383</v>
      </c>
      <c r="S7" s="8"/>
      <c r="T7" s="8"/>
      <c r="U7" s="8"/>
      <c r="V7" s="8">
        <f>ROUND((1872-51)*400/1872,0)</f>
        <v>389</v>
      </c>
      <c r="W7" s="8"/>
      <c r="X7" s="8"/>
      <c r="Y7" s="8">
        <f>ROUND((619-36)*400/619,0)</f>
        <v>377</v>
      </c>
      <c r="Z7" s="8">
        <f>ROUND((2765-315)*400/2765,0)</f>
        <v>354</v>
      </c>
      <c r="AA7" s="8"/>
      <c r="AB7" s="8"/>
      <c r="AC7" s="8"/>
      <c r="AD7" s="8"/>
      <c r="AE7" s="8"/>
      <c r="AF7" s="8"/>
      <c r="AG7" s="8"/>
      <c r="AH7" s="8"/>
      <c r="AI7" s="8">
        <f>ROUND((31652-4025)*400/31652,0)</f>
        <v>349</v>
      </c>
      <c r="AJ7" s="8"/>
      <c r="AK7" s="8"/>
      <c r="AL7" s="8"/>
      <c r="AM7" s="8"/>
      <c r="AN7" s="8"/>
      <c r="AO7" s="8"/>
      <c r="AP7" s="8"/>
      <c r="AQ7" s="8"/>
      <c r="AR7" s="9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</row>
    <row r="8" spans="1:77" x14ac:dyDescent="0.25">
      <c r="A8" s="8">
        <v>7</v>
      </c>
      <c r="B8" s="9" cm="1">
        <f t="array" ref="B8">SUMPRODUCT((E8:BY8)*(E8:BY8&gt;=LARGE(E8:BY8,6)))</f>
        <v>1735</v>
      </c>
      <c r="C8" s="8" t="s">
        <v>72</v>
      </c>
      <c r="D8" s="8">
        <f t="shared" si="0"/>
        <v>7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>
        <f>363-66</f>
        <v>297</v>
      </c>
      <c r="Y8" s="8"/>
      <c r="Z8" s="8"/>
      <c r="AA8" s="8">
        <f>ROUND((551-137)*400/551,0)</f>
        <v>301</v>
      </c>
      <c r="AB8" s="8"/>
      <c r="AC8" s="8"/>
      <c r="AD8" s="8">
        <f>ROUND((845-214)*400/845,0)</f>
        <v>299</v>
      </c>
      <c r="AE8" s="8"/>
      <c r="AF8" s="8">
        <f>370-59</f>
        <v>311</v>
      </c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9"/>
      <c r="AS8" s="8">
        <f>273-68</f>
        <v>205</v>
      </c>
      <c r="AT8" s="8"/>
      <c r="AU8" s="8">
        <f>ROUND((405-79)*400/405,0)</f>
        <v>322</v>
      </c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>
        <f>163-60</f>
        <v>103</v>
      </c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</row>
    <row r="9" spans="1:77" x14ac:dyDescent="0.25">
      <c r="A9" s="8">
        <v>8</v>
      </c>
      <c r="B9" s="9" cm="1">
        <f t="array" ref="B9">SUMPRODUCT((E9:BY9)*(E9:BY9&gt;=LARGE(E9:BY9,6)))</f>
        <v>1732</v>
      </c>
      <c r="C9" s="8" t="s">
        <v>5</v>
      </c>
      <c r="D9" s="8">
        <f t="shared" si="0"/>
        <v>7</v>
      </c>
      <c r="E9" s="8"/>
      <c r="F9" s="8"/>
      <c r="G9" s="8">
        <f>ROUND((1711-333)*400/1711,0)</f>
        <v>322</v>
      </c>
      <c r="H9" s="8"/>
      <c r="I9" s="8"/>
      <c r="J9" s="8"/>
      <c r="K9" s="8"/>
      <c r="L9" s="8"/>
      <c r="M9" s="8"/>
      <c r="N9" s="8"/>
      <c r="O9" s="8"/>
      <c r="P9" s="8">
        <f>ROUND((2702-301)*400/2702,0)</f>
        <v>355</v>
      </c>
      <c r="Q9" s="8"/>
      <c r="R9" s="8"/>
      <c r="S9" s="8"/>
      <c r="T9" s="8"/>
      <c r="U9" s="8"/>
      <c r="V9" s="8"/>
      <c r="W9" s="8">
        <f>351-83</f>
        <v>268</v>
      </c>
      <c r="X9" s="8"/>
      <c r="Y9" s="8"/>
      <c r="Z9" s="8"/>
      <c r="AA9" s="8"/>
      <c r="AB9" s="8"/>
      <c r="AC9" s="8"/>
      <c r="AD9" s="8"/>
      <c r="AE9" s="8">
        <f>ROUND((702-229)*400/702,0)</f>
        <v>270</v>
      </c>
      <c r="AF9" s="8"/>
      <c r="AG9" s="8"/>
      <c r="AH9" s="8"/>
      <c r="AI9" s="8"/>
      <c r="AJ9" s="8"/>
      <c r="AK9" s="8"/>
      <c r="AL9" s="8">
        <f>ROUND((882-272)*400/882,0)</f>
        <v>277</v>
      </c>
      <c r="AM9" s="8"/>
      <c r="AN9" s="8"/>
      <c r="AO9" s="8"/>
      <c r="AP9" s="8"/>
      <c r="AQ9" s="8"/>
      <c r="AR9" s="9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>
        <f>ROUND((596-238)*400/596,0)</f>
        <v>240</v>
      </c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>
        <f>154-37+50</f>
        <v>167</v>
      </c>
      <c r="BT9" s="8"/>
      <c r="BU9" s="8"/>
      <c r="BV9" s="8"/>
      <c r="BW9" s="8"/>
      <c r="BX9" s="8"/>
      <c r="BY9" s="8"/>
    </row>
    <row r="10" spans="1:77" ht="14.25" customHeight="1" x14ac:dyDescent="0.25">
      <c r="A10" s="8">
        <v>9</v>
      </c>
      <c r="B10" s="9" cm="1">
        <f t="array" ref="B10">SUMPRODUCT((E10:BY10)*(E10:BY10&gt;=LARGE(E10:BY10,6)))</f>
        <v>1691</v>
      </c>
      <c r="C10" s="8" t="s">
        <v>40</v>
      </c>
      <c r="D10" s="8">
        <f t="shared" si="0"/>
        <v>8</v>
      </c>
      <c r="E10" s="8"/>
      <c r="F10" s="8"/>
      <c r="G10" s="8"/>
      <c r="H10" s="9"/>
      <c r="I10" s="9"/>
      <c r="J10" s="8"/>
      <c r="K10" s="8"/>
      <c r="L10" s="8"/>
      <c r="M10" s="8"/>
      <c r="N10" s="8"/>
      <c r="O10" s="8"/>
      <c r="P10" s="8"/>
      <c r="Q10" s="8"/>
      <c r="R10" s="8">
        <f>ROUND((1727-126)*400/1727,0)</f>
        <v>371</v>
      </c>
      <c r="S10" s="8"/>
      <c r="T10" s="8"/>
      <c r="U10" s="8"/>
      <c r="V10" s="8"/>
      <c r="W10" s="8"/>
      <c r="X10" s="8"/>
      <c r="Y10" s="8"/>
      <c r="Z10" s="8"/>
      <c r="AA10" s="8">
        <f>ROUND((551-101)*400/551,0)</f>
        <v>327</v>
      </c>
      <c r="AB10" s="8"/>
      <c r="AC10" s="8"/>
      <c r="AD10" s="8">
        <f>ROUND((845-213)*400/845,0)</f>
        <v>299</v>
      </c>
      <c r="AE10" s="8"/>
      <c r="AF10" s="8"/>
      <c r="AG10" s="8"/>
      <c r="AH10" s="8"/>
      <c r="AI10" s="8">
        <f>ROUND((31652-6402)*400/31652,0)</f>
        <v>319</v>
      </c>
      <c r="AJ10" s="8"/>
      <c r="AK10" s="8"/>
      <c r="AL10" s="8"/>
      <c r="AM10" s="8"/>
      <c r="AN10" s="8"/>
      <c r="AO10" s="8">
        <f>175-71</f>
        <v>104</v>
      </c>
      <c r="AP10" s="8"/>
      <c r="AQ10" s="8"/>
      <c r="AR10" s="9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>
        <f>286-55</f>
        <v>231</v>
      </c>
      <c r="BF10" s="8"/>
      <c r="BG10" s="8"/>
      <c r="BH10" s="8"/>
      <c r="BI10" s="8">
        <f>163-19</f>
        <v>144</v>
      </c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>
        <f>354-236</f>
        <v>118</v>
      </c>
      <c r="BV10" s="8"/>
      <c r="BW10" s="8"/>
      <c r="BX10" s="8"/>
      <c r="BY10" s="8"/>
    </row>
    <row r="11" spans="1:77" x14ac:dyDescent="0.25">
      <c r="A11" s="8">
        <v>10</v>
      </c>
      <c r="B11" s="9" cm="1">
        <f t="array" ref="B11">SUMPRODUCT((E11:BY11)*(E11:BY11&gt;=LARGE(E11:BY11,6)))</f>
        <v>1589</v>
      </c>
      <c r="C11" s="8" t="s">
        <v>6</v>
      </c>
      <c r="D11" s="8">
        <f t="shared" si="0"/>
        <v>6</v>
      </c>
      <c r="E11" s="8"/>
      <c r="F11" s="8"/>
      <c r="G11" s="8">
        <f>ROUND((4615-986)*400/4615,0)</f>
        <v>315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>
        <f>ROUND((10415-4290)*400/10415,0)</f>
        <v>235</v>
      </c>
      <c r="U11" s="8"/>
      <c r="V11" s="8"/>
      <c r="W11" s="8"/>
      <c r="X11" s="8"/>
      <c r="Y11" s="8"/>
      <c r="Z11" s="8"/>
      <c r="AA11" s="8"/>
      <c r="AB11" s="8"/>
      <c r="AC11" s="8">
        <f>ROUND((455-205)*400/455,0)</f>
        <v>220</v>
      </c>
      <c r="AD11" s="8">
        <f>ROUND((845-391)*400/845,0)</f>
        <v>215</v>
      </c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>
        <f>ROUND((2950-742)*400/2950,0)</f>
        <v>299</v>
      </c>
      <c r="AQ11" s="8"/>
      <c r="AR11" s="9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>
        <f>ROUND((1110-264)*400/1110,0)</f>
        <v>305</v>
      </c>
      <c r="BQ11" s="8"/>
      <c r="BR11" s="8"/>
      <c r="BS11" s="8"/>
      <c r="BT11" s="8"/>
      <c r="BU11" s="8"/>
      <c r="BV11" s="8"/>
      <c r="BW11" s="8"/>
      <c r="BX11" s="8"/>
      <c r="BY11" s="8"/>
    </row>
    <row r="12" spans="1:77" x14ac:dyDescent="0.25">
      <c r="A12" s="8">
        <v>11</v>
      </c>
      <c r="B12" s="9" cm="1">
        <f t="array" ref="B12">SUMPRODUCT((E12:BY12)*(E12:BY12&gt;=LARGE(E12:BY12,6)))</f>
        <v>1481</v>
      </c>
      <c r="C12" s="8" t="s">
        <v>29</v>
      </c>
      <c r="D12" s="8">
        <f t="shared" si="0"/>
        <v>6</v>
      </c>
      <c r="E12" s="8"/>
      <c r="F12" s="8"/>
      <c r="G12" s="8"/>
      <c r="H12" s="8"/>
      <c r="I12" s="8"/>
      <c r="J12" s="8">
        <f>183-37</f>
        <v>146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>
        <f>ROUND((1872-192)*400/1872,0)+20</f>
        <v>379</v>
      </c>
      <c r="W12" s="8">
        <f>351-179+50</f>
        <v>222</v>
      </c>
      <c r="X12" s="8"/>
      <c r="Y12" s="8"/>
      <c r="Z12" s="8"/>
      <c r="AA12" s="8"/>
      <c r="AB12" s="8"/>
      <c r="AC12" s="8"/>
      <c r="AD12" s="8"/>
      <c r="AE12" s="8"/>
      <c r="AF12" s="8">
        <f>370-67+20</f>
        <v>323</v>
      </c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9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>
        <f>ROUND((596-435)*400/596,0)</f>
        <v>108</v>
      </c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>
        <f>ROUND((1038-253)*400/1038,0)</f>
        <v>303</v>
      </c>
      <c r="BR12" s="8"/>
      <c r="BS12" s="8"/>
      <c r="BT12" s="8"/>
      <c r="BU12" s="8"/>
      <c r="BV12" s="8"/>
      <c r="BW12" s="8"/>
      <c r="BX12" s="8"/>
      <c r="BY12" s="8"/>
    </row>
    <row r="13" spans="1:77" x14ac:dyDescent="0.25">
      <c r="A13" s="8">
        <v>12</v>
      </c>
      <c r="B13" s="9">
        <f t="shared" ref="B13:B28" si="1">SUM((E13:BY13))</f>
        <v>1472</v>
      </c>
      <c r="C13" s="8" t="s">
        <v>10</v>
      </c>
      <c r="D13" s="8">
        <f t="shared" si="0"/>
        <v>5</v>
      </c>
      <c r="E13" s="8"/>
      <c r="F13" s="8"/>
      <c r="G13" s="8">
        <f>ROUND((4615-1209)*400/4615,0)</f>
        <v>295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>
        <f>ROUND((10415-3553)*400/10415,0)</f>
        <v>264</v>
      </c>
      <c r="U13" s="8"/>
      <c r="V13" s="8"/>
      <c r="W13" s="8"/>
      <c r="X13" s="8"/>
      <c r="Y13" s="8"/>
      <c r="Z13" s="8"/>
      <c r="AA13" s="8"/>
      <c r="AB13" s="8"/>
      <c r="AC13" s="8">
        <f>ROUND((455-119)*400/455,0)</f>
        <v>295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9"/>
      <c r="AS13" s="8"/>
      <c r="AT13" s="8"/>
      <c r="AU13" s="8"/>
      <c r="AV13" s="8"/>
      <c r="AW13" s="8"/>
      <c r="AX13" s="8"/>
      <c r="AY13" s="8"/>
      <c r="AZ13" s="8"/>
      <c r="BA13" s="8"/>
      <c r="BB13" s="8">
        <f>ROUND((947-205)*400/947,0)</f>
        <v>313</v>
      </c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>
        <f>ROUND((1110-265)*400/1110,0)</f>
        <v>305</v>
      </c>
      <c r="BQ13" s="8"/>
      <c r="BR13" s="8"/>
      <c r="BS13" s="8"/>
      <c r="BT13" s="8"/>
      <c r="BU13" s="8"/>
      <c r="BV13" s="8"/>
      <c r="BW13" s="8"/>
      <c r="BX13" s="8"/>
      <c r="BY13" s="8"/>
    </row>
    <row r="14" spans="1:77" x14ac:dyDescent="0.25">
      <c r="A14" s="8">
        <v>13</v>
      </c>
      <c r="B14" s="9">
        <f t="shared" si="1"/>
        <v>1213</v>
      </c>
      <c r="C14" s="8" t="s">
        <v>50</v>
      </c>
      <c r="D14" s="8">
        <f t="shared" si="0"/>
        <v>3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>
        <f>ROUND((1872-94)*400/1872,0)</f>
        <v>380</v>
      </c>
      <c r="W14" s="8"/>
      <c r="X14" s="8"/>
      <c r="Y14" s="8"/>
      <c r="Z14" s="8"/>
      <c r="AA14" s="8"/>
      <c r="AB14" s="8"/>
      <c r="AC14" s="8"/>
      <c r="AD14" s="8"/>
      <c r="AE14" s="8">
        <f>ROUND((833-64)*400/833,0)+100</f>
        <v>469</v>
      </c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9">
        <f>ROUND((438-61)*400/438,0)+20</f>
        <v>364</v>
      </c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</row>
    <row r="15" spans="1:77" x14ac:dyDescent="0.25">
      <c r="A15" s="8">
        <v>14</v>
      </c>
      <c r="B15" s="9">
        <f t="shared" si="1"/>
        <v>1176</v>
      </c>
      <c r="C15" s="8" t="s">
        <v>33</v>
      </c>
      <c r="D15" s="8">
        <f t="shared" si="0"/>
        <v>4</v>
      </c>
      <c r="E15" s="8"/>
      <c r="F15" s="8"/>
      <c r="G15" s="8"/>
      <c r="H15" s="8"/>
      <c r="I15" s="8"/>
      <c r="J15" s="8"/>
      <c r="K15" s="8"/>
      <c r="L15" s="8"/>
      <c r="M15" s="8"/>
      <c r="N15" s="8">
        <f>ROUND((19763-3531)*400/19763,0)</f>
        <v>329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>
        <f>ROUND((551-168)*400/551,0)</f>
        <v>278</v>
      </c>
      <c r="AB15" s="8"/>
      <c r="AC15" s="8"/>
      <c r="AD15" s="8">
        <f>ROUND((845-288)*400/845,0)</f>
        <v>264</v>
      </c>
      <c r="AE15" s="8"/>
      <c r="AF15" s="8"/>
      <c r="AG15" s="8"/>
      <c r="AH15" s="8"/>
      <c r="AI15" s="8">
        <f>ROUND((31652-7493)*400/31652,0)</f>
        <v>305</v>
      </c>
      <c r="AJ15" s="8"/>
      <c r="AK15" s="8"/>
      <c r="AL15" s="8"/>
      <c r="AM15" s="8"/>
      <c r="AN15" s="8"/>
      <c r="AO15" s="8"/>
      <c r="AP15" s="8"/>
      <c r="AQ15" s="8"/>
      <c r="AR15" s="9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</row>
    <row r="16" spans="1:77" x14ac:dyDescent="0.25">
      <c r="A16" s="8">
        <v>15</v>
      </c>
      <c r="B16" s="9">
        <f t="shared" si="1"/>
        <v>973</v>
      </c>
      <c r="C16" s="8" t="s">
        <v>42</v>
      </c>
      <c r="D16" s="8">
        <f t="shared" si="0"/>
        <v>5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f>ROUND((1727-651)*400/1727,0)</f>
        <v>249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>
        <f>ROUND((845-295)*400/845,0)</f>
        <v>260</v>
      </c>
      <c r="AE16" s="8"/>
      <c r="AF16" s="8"/>
      <c r="AG16" s="8"/>
      <c r="AH16" s="8"/>
      <c r="AI16" s="8"/>
      <c r="AJ16" s="8"/>
      <c r="AK16" s="8"/>
      <c r="AL16" s="8"/>
      <c r="AM16" s="8"/>
      <c r="AN16" s="8">
        <f>281-151</f>
        <v>130</v>
      </c>
      <c r="AO16" s="8"/>
      <c r="AP16" s="8"/>
      <c r="AQ16" s="8"/>
      <c r="AR16" s="9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>
        <f>56-25+50</f>
        <v>81</v>
      </c>
      <c r="BK16" s="8"/>
      <c r="BL16" s="8"/>
      <c r="BM16" s="8"/>
      <c r="BN16" s="8">
        <f>ROUND((2242-825)*400/2242,0)</f>
        <v>253</v>
      </c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</row>
    <row r="17" spans="1:77" x14ac:dyDescent="0.25">
      <c r="A17" s="8">
        <v>16</v>
      </c>
      <c r="B17" s="9">
        <f t="shared" si="1"/>
        <v>962</v>
      </c>
      <c r="C17" s="8" t="s">
        <v>16</v>
      </c>
      <c r="D17" s="8">
        <f t="shared" si="0"/>
        <v>5</v>
      </c>
      <c r="E17" s="8"/>
      <c r="F17" s="8"/>
      <c r="G17" s="8">
        <f>ROUND((4615-464)*400/4615,0)</f>
        <v>360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>
        <f>ROUND((845-639)*400/845,0)</f>
        <v>98</v>
      </c>
      <c r="AE17" s="8"/>
      <c r="AF17" s="8"/>
      <c r="AG17" s="8">
        <f>277-190</f>
        <v>87</v>
      </c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9">
        <f>356-256</f>
        <v>100</v>
      </c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>
        <f>342-25</f>
        <v>317</v>
      </c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</row>
    <row r="18" spans="1:77" x14ac:dyDescent="0.25">
      <c r="A18" s="8">
        <v>17</v>
      </c>
      <c r="B18" s="9">
        <f t="shared" si="1"/>
        <v>768</v>
      </c>
      <c r="C18" s="8" t="s">
        <v>18</v>
      </c>
      <c r="D18" s="8">
        <f t="shared" si="0"/>
        <v>2</v>
      </c>
      <c r="E18" s="8"/>
      <c r="F18" s="8"/>
      <c r="G18" s="8"/>
      <c r="H18" s="8">
        <f>294-16+100</f>
        <v>378</v>
      </c>
      <c r="I18" s="8"/>
      <c r="J18" s="8"/>
      <c r="K18" s="8"/>
      <c r="L18" s="8"/>
      <c r="M18" s="8"/>
      <c r="N18" s="8">
        <f>ROUND((19763-501)*400/19763,0)</f>
        <v>390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9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</row>
    <row r="19" spans="1:77" x14ac:dyDescent="0.25">
      <c r="A19" s="8">
        <v>18</v>
      </c>
      <c r="B19" s="9">
        <f t="shared" si="1"/>
        <v>660</v>
      </c>
      <c r="C19" s="8" t="s">
        <v>60</v>
      </c>
      <c r="D19" s="8">
        <f t="shared" si="0"/>
        <v>2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>
        <f>ROUND((2765-613)*400/2765,0)</f>
        <v>311</v>
      </c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9"/>
      <c r="AS19" s="8"/>
      <c r="AT19" s="8"/>
      <c r="AU19" s="8"/>
      <c r="AV19" s="8"/>
      <c r="AW19" s="8"/>
      <c r="AX19" s="8"/>
      <c r="AY19" s="8"/>
      <c r="AZ19" s="8"/>
      <c r="BA19" s="8"/>
      <c r="BB19" s="8">
        <f>ROUND((947-121)*400/947,0)</f>
        <v>349</v>
      </c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x14ac:dyDescent="0.25">
      <c r="A20" s="8">
        <v>19</v>
      </c>
      <c r="B20" s="9">
        <f t="shared" si="1"/>
        <v>647</v>
      </c>
      <c r="C20" s="8" t="s">
        <v>19</v>
      </c>
      <c r="D20" s="8">
        <f t="shared" si="0"/>
        <v>4</v>
      </c>
      <c r="E20" s="8"/>
      <c r="F20" s="8"/>
      <c r="G20" s="8"/>
      <c r="H20" s="8">
        <f>375-204</f>
        <v>171</v>
      </c>
      <c r="I20" s="8"/>
      <c r="J20" s="8"/>
      <c r="K20" s="8"/>
      <c r="L20" s="8"/>
      <c r="M20" s="8"/>
      <c r="N20" s="8"/>
      <c r="O20" s="8"/>
      <c r="P20" s="8"/>
      <c r="Q20" s="8"/>
      <c r="R20" s="8">
        <f>ROUND((2083-1117)*400/2083,0)</f>
        <v>186</v>
      </c>
      <c r="S20" s="8"/>
      <c r="T20" s="8"/>
      <c r="U20" s="8"/>
      <c r="V20" s="8">
        <f>ROUND((1872-591)*400/1872,0)</f>
        <v>274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9"/>
      <c r="AS20" s="8"/>
      <c r="AT20" s="8">
        <f>ROUND((52724-50647)*400/52724,0)</f>
        <v>16</v>
      </c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x14ac:dyDescent="0.25">
      <c r="A21" s="8">
        <v>20</v>
      </c>
      <c r="B21" s="9">
        <f t="shared" si="1"/>
        <v>546</v>
      </c>
      <c r="C21" s="8" t="s">
        <v>112</v>
      </c>
      <c r="D21" s="8">
        <f t="shared" si="0"/>
        <v>2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9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>
        <f>349-156</f>
        <v>193</v>
      </c>
      <c r="BI21" s="8"/>
      <c r="BJ21" s="8"/>
      <c r="BK21" s="8"/>
      <c r="BL21" s="8">
        <f>ROUND((1135-132)*400/1135,0)</f>
        <v>353</v>
      </c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x14ac:dyDescent="0.25">
      <c r="A22" s="8">
        <v>21</v>
      </c>
      <c r="B22" s="9">
        <f t="shared" si="1"/>
        <v>474</v>
      </c>
      <c r="C22" s="8" t="s">
        <v>7</v>
      </c>
      <c r="D22" s="8">
        <f t="shared" si="0"/>
        <v>2</v>
      </c>
      <c r="E22" s="8"/>
      <c r="F22" s="8">
        <f>139-46</f>
        <v>93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>
        <f>ROUND((702-121)*400/702,0)+50</f>
        <v>381</v>
      </c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9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x14ac:dyDescent="0.25">
      <c r="A23" s="8">
        <v>22</v>
      </c>
      <c r="B23" s="9">
        <f t="shared" si="1"/>
        <v>429</v>
      </c>
      <c r="C23" s="8" t="s">
        <v>47</v>
      </c>
      <c r="D23" s="8">
        <f t="shared" si="0"/>
        <v>2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f>398-145+50</f>
        <v>303</v>
      </c>
      <c r="R23" s="8"/>
      <c r="S23" s="8"/>
      <c r="T23" s="8"/>
      <c r="U23" s="8">
        <f>358-332+100</f>
        <v>126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9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x14ac:dyDescent="0.25">
      <c r="A24" s="8">
        <v>23</v>
      </c>
      <c r="B24" s="9">
        <f t="shared" si="1"/>
        <v>406</v>
      </c>
      <c r="C24" s="8" t="s">
        <v>8</v>
      </c>
      <c r="D24" s="8">
        <f t="shared" si="0"/>
        <v>2</v>
      </c>
      <c r="E24" s="8"/>
      <c r="F24" s="8">
        <f>139-117</f>
        <v>22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>
        <f>ROUND((36109-1423)*400/36109,0)</f>
        <v>384</v>
      </c>
      <c r="AL24" s="8"/>
      <c r="AM24" s="8"/>
      <c r="AN24" s="8"/>
      <c r="AO24" s="8"/>
      <c r="AP24" s="8"/>
      <c r="AQ24" s="8"/>
      <c r="AR24" s="9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x14ac:dyDescent="0.25">
      <c r="A25" s="8">
        <v>24</v>
      </c>
      <c r="B25" s="9">
        <f t="shared" si="1"/>
        <v>290</v>
      </c>
      <c r="C25" s="8" t="s">
        <v>94</v>
      </c>
      <c r="D25" s="8">
        <f t="shared" si="0"/>
        <v>1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9"/>
      <c r="AS25" s="8"/>
      <c r="AT25" s="8"/>
      <c r="AU25" s="8"/>
      <c r="AV25" s="8">
        <f>ROUND((1834-503)*400/1834,0)</f>
        <v>290</v>
      </c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x14ac:dyDescent="0.25">
      <c r="A26" s="8">
        <v>25</v>
      </c>
      <c r="B26" s="9">
        <f t="shared" si="1"/>
        <v>250</v>
      </c>
      <c r="C26" s="8" t="s">
        <v>15</v>
      </c>
      <c r="D26" s="8">
        <f t="shared" si="0"/>
        <v>1</v>
      </c>
      <c r="E26" s="8">
        <f>ROUND((439-165)*400/439,0)</f>
        <v>250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9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  <row r="27" spans="1:77" x14ac:dyDescent="0.25">
      <c r="A27" s="8">
        <v>26</v>
      </c>
      <c r="B27" s="9">
        <f t="shared" si="1"/>
        <v>122</v>
      </c>
      <c r="C27" s="8" t="s">
        <v>110</v>
      </c>
      <c r="D27" s="8">
        <f t="shared" si="0"/>
        <v>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9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>
        <f>219-97</f>
        <v>122</v>
      </c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</row>
    <row r="28" spans="1:77" x14ac:dyDescent="0.25">
      <c r="A28" s="8">
        <v>27</v>
      </c>
      <c r="B28" s="9">
        <f t="shared" si="1"/>
        <v>57</v>
      </c>
      <c r="C28" s="8" t="s">
        <v>51</v>
      </c>
      <c r="D28" s="8">
        <f t="shared" si="0"/>
        <v>1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>
        <f>ROUND((1872-1607)*400/1872,0)</f>
        <v>57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9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</row>
    <row r="30" spans="1:77" x14ac:dyDescent="0.25">
      <c r="A30" s="6"/>
    </row>
    <row r="31" spans="1:77" x14ac:dyDescent="0.25">
      <c r="A31" s="7"/>
    </row>
    <row r="33" spans="4:4" x14ac:dyDescent="0.25">
      <c r="D33" cm="1">
        <f t="array" ref="D33">SUMPRODUCT((E2:BY2)*(E2:BY2&gt;=LARGE(E2:BY2,6)))</f>
        <v>2625</v>
      </c>
    </row>
    <row r="34" spans="4:4" x14ac:dyDescent="0.25">
      <c r="D34">
        <f>ROUND((565-83)*400/565,0)</f>
        <v>341</v>
      </c>
    </row>
  </sheetData>
  <autoFilter ref="A1:D34" xr:uid="{00000000-0001-0000-0000-000000000000}"/>
  <sortState xmlns:xlrd2="http://schemas.microsoft.com/office/spreadsheetml/2017/richdata2" ref="A2:BY36">
    <sortCondition descending="1" ref="B2:B36"/>
  </sortState>
  <pageMargins left="0.7" right="0.7" top="0.75" bottom="0.75" header="0.3" footer="0.3"/>
  <pageSetup paperSize="9" orientation="portrait" r:id="rId1"/>
  <headerFooter>
    <oddFooter>&amp;L&amp;1#&amp;"Tahoma"&amp;9&amp;KCF022BC2 – Usage restreint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99E1-AB98-496F-ACF8-2E30AAA8CE3F}">
  <dimension ref="A1:BB29"/>
  <sheetViews>
    <sheetView workbookViewId="0">
      <pane xSplit="4" ySplit="1" topLeftCell="AI2" activePane="bottomRight" state="frozenSplit"/>
      <selection pane="topRight" activeCell="F1" sqref="F1"/>
      <selection pane="bottomLeft" activeCell="A2" sqref="A2"/>
      <selection pane="bottomRight" activeCell="A15" sqref="A15"/>
    </sheetView>
  </sheetViews>
  <sheetFormatPr baseColWidth="10" defaultRowHeight="15" x14ac:dyDescent="0.25"/>
  <cols>
    <col min="1" max="1" width="8" bestFit="1" customWidth="1"/>
    <col min="2" max="2" width="10.5703125" bestFit="1" customWidth="1"/>
    <col min="3" max="3" width="28.42578125" bestFit="1" customWidth="1"/>
    <col min="4" max="4" width="17.7109375" bestFit="1" customWidth="1"/>
    <col min="5" max="5" width="11.140625" bestFit="1" customWidth="1"/>
    <col min="6" max="6" width="12.85546875" bestFit="1" customWidth="1"/>
    <col min="7" max="7" width="13.140625" bestFit="1" customWidth="1"/>
    <col min="8" max="8" width="20.85546875" bestFit="1" customWidth="1"/>
    <col min="9" max="9" width="10.28515625" bestFit="1" customWidth="1"/>
    <col min="10" max="10" width="20.85546875" bestFit="1" customWidth="1"/>
    <col min="11" max="11" width="12" bestFit="1" customWidth="1"/>
    <col min="12" max="12" width="10.5703125" bestFit="1" customWidth="1"/>
    <col min="13" max="13" width="13.140625" bestFit="1" customWidth="1"/>
    <col min="14" max="14" width="10.85546875" bestFit="1" customWidth="1"/>
    <col min="15" max="15" width="14.85546875" bestFit="1" customWidth="1"/>
    <col min="16" max="16" width="10.28515625" bestFit="1" customWidth="1"/>
    <col min="17" max="17" width="13.140625" bestFit="1" customWidth="1"/>
    <col min="18" max="18" width="12.28515625" bestFit="1" customWidth="1"/>
    <col min="19" max="19" width="9.140625" bestFit="1" customWidth="1"/>
    <col min="20" max="20" width="12.28515625" bestFit="1" customWidth="1"/>
    <col min="21" max="21" width="7.7109375" bestFit="1" customWidth="1"/>
    <col min="22" max="22" width="14.85546875" bestFit="1" customWidth="1"/>
    <col min="23" max="23" width="11.7109375" bestFit="1" customWidth="1"/>
    <col min="24" max="24" width="12.85546875" bestFit="1" customWidth="1"/>
    <col min="25" max="25" width="11.140625" bestFit="1" customWidth="1"/>
    <col min="26" max="26" width="14.140625" bestFit="1" customWidth="1"/>
    <col min="27" max="27" width="11.140625" bestFit="1" customWidth="1"/>
    <col min="28" max="28" width="10.140625" bestFit="1" customWidth="1"/>
    <col min="29" max="29" width="10" bestFit="1" customWidth="1"/>
    <col min="30" max="30" width="9.7109375" bestFit="1" customWidth="1"/>
    <col min="31" max="31" width="11.140625" bestFit="1" customWidth="1"/>
    <col min="32" max="32" width="9.7109375" bestFit="1" customWidth="1"/>
    <col min="33" max="33" width="10.42578125" customWidth="1"/>
    <col min="34" max="34" width="10.140625" customWidth="1"/>
    <col min="35" max="35" width="11.85546875" bestFit="1" customWidth="1"/>
    <col min="36" max="37" width="10.5703125" bestFit="1" customWidth="1"/>
    <col min="38" max="38" width="10.7109375" bestFit="1" customWidth="1"/>
    <col min="39" max="39" width="8.28515625" bestFit="1" customWidth="1"/>
    <col min="40" max="40" width="9.28515625" bestFit="1" customWidth="1"/>
    <col min="41" max="41" width="11.85546875" bestFit="1" customWidth="1"/>
    <col min="42" max="42" width="10.5703125" bestFit="1" customWidth="1"/>
    <col min="43" max="43" width="9.28515625" bestFit="1" customWidth="1"/>
    <col min="44" max="44" width="9.5703125" bestFit="1" customWidth="1"/>
    <col min="45" max="45" width="9.85546875" bestFit="1" customWidth="1"/>
    <col min="46" max="46" width="8.28515625" bestFit="1" customWidth="1"/>
    <col min="47" max="47" width="8.7109375" bestFit="1" customWidth="1"/>
    <col min="48" max="48" width="9.28515625" bestFit="1" customWidth="1"/>
    <col min="49" max="53" width="8.7109375" customWidth="1"/>
    <col min="54" max="54" width="10.140625" bestFit="1" customWidth="1"/>
  </cols>
  <sheetData>
    <row r="1" spans="1:54" ht="45" x14ac:dyDescent="0.25">
      <c r="A1" s="11" t="s">
        <v>0</v>
      </c>
      <c r="B1" s="11" t="s">
        <v>1</v>
      </c>
      <c r="C1" s="11" t="s">
        <v>2</v>
      </c>
      <c r="D1" s="11" t="s">
        <v>3</v>
      </c>
      <c r="E1" s="1" t="s">
        <v>14</v>
      </c>
      <c r="F1" s="1" t="s">
        <v>23</v>
      </c>
      <c r="G1" s="1" t="s">
        <v>24</v>
      </c>
      <c r="H1" s="2" t="s">
        <v>57</v>
      </c>
      <c r="I1" s="2" t="s">
        <v>31</v>
      </c>
      <c r="J1" s="1" t="s">
        <v>35</v>
      </c>
      <c r="K1" s="3" t="s">
        <v>36</v>
      </c>
      <c r="L1" s="5" t="s">
        <v>38</v>
      </c>
      <c r="M1" s="5" t="s">
        <v>39</v>
      </c>
      <c r="N1" s="5" t="s">
        <v>48</v>
      </c>
      <c r="O1" s="5" t="s">
        <v>49</v>
      </c>
      <c r="P1" s="3" t="s">
        <v>53</v>
      </c>
      <c r="Q1" s="3" t="s">
        <v>54</v>
      </c>
      <c r="R1" s="5" t="s">
        <v>55</v>
      </c>
      <c r="S1" s="5" t="s">
        <v>58</v>
      </c>
      <c r="T1" s="5" t="s">
        <v>59</v>
      </c>
      <c r="U1" s="5" t="s">
        <v>61</v>
      </c>
      <c r="V1" s="5" t="s">
        <v>62</v>
      </c>
      <c r="W1" s="5" t="s">
        <v>63</v>
      </c>
      <c r="X1" s="5" t="s">
        <v>65</v>
      </c>
      <c r="Y1" s="5" t="s">
        <v>67</v>
      </c>
      <c r="Z1" s="5" t="s">
        <v>74</v>
      </c>
      <c r="AA1" s="5" t="s">
        <v>75</v>
      </c>
      <c r="AB1" s="5" t="s">
        <v>78</v>
      </c>
      <c r="AC1" s="5" t="s">
        <v>79</v>
      </c>
      <c r="AD1" s="5" t="s">
        <v>80</v>
      </c>
      <c r="AE1" s="5" t="s">
        <v>81</v>
      </c>
      <c r="AF1" s="5" t="s">
        <v>82</v>
      </c>
      <c r="AG1" s="5" t="s">
        <v>85</v>
      </c>
      <c r="AH1" s="5" t="s">
        <v>86</v>
      </c>
      <c r="AI1" s="5" t="s">
        <v>88</v>
      </c>
      <c r="AJ1" s="5" t="s">
        <v>89</v>
      </c>
      <c r="AK1" s="5" t="s">
        <v>91</v>
      </c>
      <c r="AL1" s="5" t="s">
        <v>97</v>
      </c>
      <c r="AM1" s="5" t="s">
        <v>100</v>
      </c>
      <c r="AN1" s="5" t="s">
        <v>99</v>
      </c>
      <c r="AO1" s="5" t="s">
        <v>102</v>
      </c>
      <c r="AP1" s="5" t="s">
        <v>105</v>
      </c>
      <c r="AQ1" s="5" t="s">
        <v>107</v>
      </c>
      <c r="AR1" s="5" t="s">
        <v>108</v>
      </c>
      <c r="AS1" s="5" t="s">
        <v>113</v>
      </c>
      <c r="AT1" s="5" t="s">
        <v>114</v>
      </c>
      <c r="AU1" s="5" t="s">
        <v>117</v>
      </c>
      <c r="AV1" s="5" t="s">
        <v>121</v>
      </c>
      <c r="AW1" s="5" t="s">
        <v>123</v>
      </c>
      <c r="AX1" s="5" t="s">
        <v>126</v>
      </c>
      <c r="AY1" s="5"/>
      <c r="AZ1" s="5"/>
      <c r="BA1" s="5"/>
      <c r="BB1" s="5"/>
    </row>
    <row r="2" spans="1:54" x14ac:dyDescent="0.25">
      <c r="A2" s="8">
        <v>1</v>
      </c>
      <c r="B2" s="9" cm="1">
        <f t="array" ref="B2">SUMPRODUCT((E2:BB2)*(E2:BB2&gt;=LARGE(E2:BB2,6)))</f>
        <v>2398</v>
      </c>
      <c r="C2" s="8" t="s">
        <v>9</v>
      </c>
      <c r="D2" s="8">
        <f>IF(COUNT(E2:BB2)&gt;30,30,COUNT(E2:BB2))</f>
        <v>12</v>
      </c>
      <c r="E2" s="8">
        <f>ROUND((4615-488)*400/4615,0)</f>
        <v>358</v>
      </c>
      <c r="F2" s="8">
        <f>159-7+400</f>
        <v>552</v>
      </c>
      <c r="G2" s="8"/>
      <c r="H2" s="8"/>
      <c r="I2" s="8"/>
      <c r="J2" s="8">
        <f>263-24+150</f>
        <v>389</v>
      </c>
      <c r="K2" s="8"/>
      <c r="L2" s="8">
        <f>ROUND((1727-468)*400/1727,0)</f>
        <v>292</v>
      </c>
      <c r="M2" s="8"/>
      <c r="N2" s="8">
        <f>ROUND((1872-244)*400/1872,0)+20</f>
        <v>368</v>
      </c>
      <c r="O2" s="8"/>
      <c r="P2" s="8"/>
      <c r="Q2" s="8"/>
      <c r="R2" s="8"/>
      <c r="S2" s="8"/>
      <c r="T2" s="8"/>
      <c r="U2" s="8"/>
      <c r="V2" s="8"/>
      <c r="W2" s="8"/>
      <c r="X2" s="8"/>
      <c r="Y2" s="8">
        <f>ROUND((845-339)*400/845,0)</f>
        <v>240</v>
      </c>
      <c r="Z2" s="8"/>
      <c r="AA2" s="8"/>
      <c r="AB2" s="8"/>
      <c r="AC2" s="8"/>
      <c r="AD2" s="8"/>
      <c r="AE2" s="8">
        <f>ROUND((36109-7112)*400/36109,0)</f>
        <v>321</v>
      </c>
      <c r="AF2" s="8"/>
      <c r="AG2" s="8"/>
      <c r="AH2" s="8"/>
      <c r="AI2" s="8"/>
      <c r="AJ2" s="8"/>
      <c r="AK2" s="8"/>
      <c r="AL2" s="8"/>
      <c r="AM2" s="8"/>
      <c r="AN2" s="9"/>
      <c r="AO2" s="8">
        <f>113-59+100</f>
        <v>154</v>
      </c>
      <c r="AP2" s="8"/>
      <c r="AQ2" s="8">
        <f>286-26+150</f>
        <v>410</v>
      </c>
      <c r="AR2" s="8"/>
      <c r="AS2" s="8">
        <f>163-57+50</f>
        <v>156</v>
      </c>
      <c r="AT2" s="8"/>
      <c r="AU2" s="8"/>
      <c r="AV2" s="8">
        <f>ROUND((1038-407)*400/1038,0)</f>
        <v>243</v>
      </c>
      <c r="AW2" s="8"/>
      <c r="AX2" s="8">
        <f>354-196</f>
        <v>158</v>
      </c>
      <c r="AY2" s="8"/>
      <c r="AZ2" s="8"/>
      <c r="BA2" s="8"/>
      <c r="BB2" s="8"/>
    </row>
    <row r="3" spans="1:54" x14ac:dyDescent="0.25">
      <c r="A3" s="8">
        <v>2</v>
      </c>
      <c r="B3" s="9" cm="1">
        <f t="array" ref="B3">SUMPRODUCT((E3:BB3)*(E3:BB3&gt;=LARGE(E3:BB3,6)))</f>
        <v>1942</v>
      </c>
      <c r="C3" s="8" t="s">
        <v>25</v>
      </c>
      <c r="D3" s="8">
        <f>IF(COUNT(E3:BB3)&gt;30,30,COUNT(E3:BB3))</f>
        <v>11</v>
      </c>
      <c r="E3" s="8"/>
      <c r="F3" s="8"/>
      <c r="G3" s="8">
        <f>ROUND((54282-47607)*400/54282,0)</f>
        <v>49</v>
      </c>
      <c r="H3" s="8"/>
      <c r="I3" s="8"/>
      <c r="J3" s="8"/>
      <c r="K3" s="8"/>
      <c r="L3" s="8"/>
      <c r="M3" s="8"/>
      <c r="N3" s="8"/>
      <c r="O3" s="8"/>
      <c r="P3" s="8"/>
      <c r="Q3" s="8">
        <f>380-239+50</f>
        <v>191</v>
      </c>
      <c r="R3" s="8"/>
      <c r="S3" s="8"/>
      <c r="T3" s="8"/>
      <c r="U3" s="8"/>
      <c r="V3" s="8">
        <f>ROUND((551-155)*400/551,0)+50</f>
        <v>337</v>
      </c>
      <c r="W3" s="8">
        <f>364-294</f>
        <v>70</v>
      </c>
      <c r="X3" s="8"/>
      <c r="Y3" s="8"/>
      <c r="Z3" s="8"/>
      <c r="AA3" s="8"/>
      <c r="AB3" s="8">
        <f>173-56+100</f>
        <v>217</v>
      </c>
      <c r="AC3" s="8"/>
      <c r="AD3" s="8">
        <f>ROUND((540-60)*400/540,0)+100</f>
        <v>456</v>
      </c>
      <c r="AE3" s="8"/>
      <c r="AF3" s="8">
        <f>ROUND((1213-241)*400/1213,0)+50</f>
        <v>371</v>
      </c>
      <c r="AG3" s="8"/>
      <c r="AH3" s="8"/>
      <c r="AI3" s="8"/>
      <c r="AJ3" s="8"/>
      <c r="AK3" s="8"/>
      <c r="AL3" s="8">
        <f>ROUND((32395-14412)*400/32395,0)</f>
        <v>222</v>
      </c>
      <c r="AM3" s="8">
        <f>220-101+100</f>
        <v>219</v>
      </c>
      <c r="AN3" s="9"/>
      <c r="AO3" s="8"/>
      <c r="AP3" s="8"/>
      <c r="AQ3" s="8"/>
      <c r="AR3" s="8">
        <f>172-82+100</f>
        <v>190</v>
      </c>
      <c r="AS3" s="8"/>
      <c r="AT3" s="8"/>
      <c r="AU3" s="8"/>
      <c r="AV3" s="8"/>
      <c r="AW3" s="8">
        <f>ROUND((509-208)*400/509,0)+100</f>
        <v>337</v>
      </c>
      <c r="AX3" s="8"/>
      <c r="AY3" s="8"/>
      <c r="AZ3" s="8"/>
      <c r="BA3" s="8"/>
      <c r="BB3" s="8"/>
    </row>
    <row r="4" spans="1:54" x14ac:dyDescent="0.25">
      <c r="A4" s="8">
        <v>3</v>
      </c>
      <c r="B4" s="9" cm="1">
        <f t="array" ref="B4">SUMPRODUCT((E4:BB4)*(E4:BB4&gt;=LARGE(E4:BB4,6)))</f>
        <v>1744</v>
      </c>
      <c r="C4" s="8" t="s">
        <v>44</v>
      </c>
      <c r="D4" s="8">
        <f>IF(COUNT(E4:BB4)&gt;30,30,COUNT(E4:BB4))</f>
        <v>6</v>
      </c>
      <c r="E4" s="8"/>
      <c r="F4" s="8"/>
      <c r="G4" s="8"/>
      <c r="H4" s="8"/>
      <c r="I4" s="8"/>
      <c r="J4" s="8"/>
      <c r="K4" s="8"/>
      <c r="L4" s="8"/>
      <c r="M4" s="8">
        <f>ROUND((937-32)*400/937,0)</f>
        <v>386</v>
      </c>
      <c r="N4" s="8"/>
      <c r="O4" s="8"/>
      <c r="P4" s="8"/>
      <c r="Q4" s="8"/>
      <c r="R4" s="8">
        <f>ROUND((3852-742)*400/3852,0)</f>
        <v>323</v>
      </c>
      <c r="S4" s="8"/>
      <c r="T4" s="8"/>
      <c r="U4" s="8"/>
      <c r="V4" s="8">
        <f>ROUND((551-175)*400/551,0)+20</f>
        <v>293</v>
      </c>
      <c r="W4" s="8"/>
      <c r="X4" s="8"/>
      <c r="Y4" s="8">
        <f>ROUND((845-230)*400/845,0)</f>
        <v>291</v>
      </c>
      <c r="Z4" s="8"/>
      <c r="AA4" s="8"/>
      <c r="AB4" s="8"/>
      <c r="AC4" s="8">
        <f>ROUND((31652-8414)*400/31652,0)</f>
        <v>294</v>
      </c>
      <c r="AD4" s="8"/>
      <c r="AE4" s="8"/>
      <c r="AF4" s="8"/>
      <c r="AG4" s="8">
        <f>175-68+50</f>
        <v>157</v>
      </c>
      <c r="AH4" s="8"/>
      <c r="AI4" s="8"/>
      <c r="AJ4" s="8"/>
      <c r="AK4" s="8"/>
      <c r="AL4" s="8"/>
      <c r="AM4" s="8"/>
      <c r="AN4" s="9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8">
        <v>4</v>
      </c>
      <c r="B5" s="9" cm="1">
        <f t="array" ref="B5">SUMPRODUCT((E5:BB5)*(E5:BB5&gt;=LARGE(E5:BB5,6)))</f>
        <v>1725</v>
      </c>
      <c r="C5" s="8" t="s">
        <v>43</v>
      </c>
      <c r="D5" s="8">
        <f>IF(COUNT(E5:BB5)&gt;30,30,COUNT(E5:BB5))</f>
        <v>7</v>
      </c>
      <c r="E5" s="8"/>
      <c r="F5" s="8"/>
      <c r="G5" s="8"/>
      <c r="H5" s="8"/>
      <c r="I5" s="8"/>
      <c r="J5" s="8"/>
      <c r="K5" s="8"/>
      <c r="L5" s="8">
        <f>ROUND((1727-791)*400/1727,0)</f>
        <v>217</v>
      </c>
      <c r="M5" s="8"/>
      <c r="N5" s="8"/>
      <c r="O5" s="8"/>
      <c r="P5" s="8"/>
      <c r="Q5" s="8">
        <f>380-177</f>
        <v>203</v>
      </c>
      <c r="R5" s="8"/>
      <c r="S5" s="8">
        <f>ROUND((619-293)*400/619,0)</f>
        <v>211</v>
      </c>
      <c r="T5" s="8"/>
      <c r="U5" s="8"/>
      <c r="V5" s="8">
        <f>ROUND((536-85)*400/536,0)</f>
        <v>337</v>
      </c>
      <c r="W5" s="8"/>
      <c r="X5" s="8"/>
      <c r="Y5" s="8">
        <f>ROUND((432-124)*400/432,0)</f>
        <v>285</v>
      </c>
      <c r="Z5" s="8">
        <f>ROUND((702-202)*400/702,0)</f>
        <v>285</v>
      </c>
      <c r="AA5" s="8"/>
      <c r="AB5" s="8"/>
      <c r="AC5" s="8"/>
      <c r="AD5" s="8"/>
      <c r="AE5" s="8"/>
      <c r="AF5" s="8"/>
      <c r="AG5" s="8"/>
      <c r="AH5" s="8">
        <f>ROUND((505-76)*400/505,0)+50</f>
        <v>390</v>
      </c>
      <c r="AI5" s="8"/>
      <c r="AJ5" s="8"/>
      <c r="AK5" s="8"/>
      <c r="AL5" s="8"/>
      <c r="AM5" s="8"/>
      <c r="AN5" s="9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8">
        <v>5</v>
      </c>
      <c r="B6" s="9">
        <f>SUM(E6:BB6)</f>
        <v>695</v>
      </c>
      <c r="C6" s="8" t="s">
        <v>20</v>
      </c>
      <c r="D6" s="8">
        <f>IF(COUNT(E6:BB6)&gt;30,30,COUNT(E6:BB6))</f>
        <v>4</v>
      </c>
      <c r="E6" s="8"/>
      <c r="F6" s="8">
        <f>375-229</f>
        <v>146</v>
      </c>
      <c r="G6" s="8"/>
      <c r="H6" s="8"/>
      <c r="I6" s="8"/>
      <c r="J6" s="8"/>
      <c r="K6" s="8"/>
      <c r="L6" s="8">
        <f>ROUND((1727-1099)*400/1727,0)</f>
        <v>145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>
        <f>ROUND((845-450)*400/845,0)</f>
        <v>187</v>
      </c>
      <c r="Z6" s="8"/>
      <c r="AA6" s="8"/>
      <c r="AB6" s="8"/>
      <c r="AC6" s="8"/>
      <c r="AD6" s="8"/>
      <c r="AE6" s="8">
        <f>ROUND((36109-16490)*400/36109,0)</f>
        <v>217</v>
      </c>
      <c r="AF6" s="8"/>
      <c r="AG6" s="8"/>
      <c r="AH6" s="8"/>
      <c r="AI6" s="8"/>
      <c r="AJ6" s="8"/>
      <c r="AK6" s="8"/>
      <c r="AL6" s="8"/>
      <c r="AM6" s="8"/>
      <c r="AN6" s="9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8">
        <v>6</v>
      </c>
      <c r="B7" s="9" cm="1">
        <f t="array" ref="B7">SUMPRODUCT((E7:BB7)*(E7:BB7&gt;=LARGE(E7:BB7,6)))</f>
        <v>615</v>
      </c>
      <c r="C7" s="8" t="s">
        <v>34</v>
      </c>
      <c r="D7" s="8">
        <f>IF(COUNT(E7:BB7)&gt;30,30,COUNT(E7:BB7))</f>
        <v>6</v>
      </c>
      <c r="E7" s="8"/>
      <c r="F7" s="8"/>
      <c r="G7" s="8"/>
      <c r="H7" s="8"/>
      <c r="I7" s="8">
        <f>ROUND((19763-16932)*400/19763,0)</f>
        <v>57</v>
      </c>
      <c r="J7" s="8"/>
      <c r="K7" s="8"/>
      <c r="L7" s="8">
        <f>ROUND((1727-1394)*400/1727,0)</f>
        <v>77</v>
      </c>
      <c r="M7" s="8"/>
      <c r="N7" s="8"/>
      <c r="O7" s="8"/>
      <c r="P7" s="8"/>
      <c r="Q7" s="8">
        <f>363-209</f>
        <v>154</v>
      </c>
      <c r="R7" s="8"/>
      <c r="S7" s="8"/>
      <c r="T7" s="8"/>
      <c r="U7" s="8">
        <f>ROUND((466-346)*400/466,0)</f>
        <v>103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9">
        <f>ROUND((947-696)*400/947,0)</f>
        <v>106</v>
      </c>
      <c r="AO7" s="8"/>
      <c r="AP7" s="8"/>
      <c r="AQ7" s="8"/>
      <c r="AR7" s="8"/>
      <c r="AS7" s="8"/>
      <c r="AT7" s="8"/>
      <c r="AU7" s="8">
        <f>ROUND((1135-799)*400/1135,0)</f>
        <v>118</v>
      </c>
      <c r="AV7" s="8"/>
      <c r="AW7" s="8"/>
      <c r="AX7" s="8"/>
      <c r="AY7" s="8"/>
      <c r="AZ7" s="8"/>
      <c r="BA7" s="8"/>
      <c r="BB7" s="8"/>
    </row>
    <row r="8" spans="1:54" x14ac:dyDescent="0.25">
      <c r="A8" s="8">
        <v>7</v>
      </c>
      <c r="B8" s="9">
        <f>SUM(E8:BB8)</f>
        <v>441</v>
      </c>
      <c r="C8" s="8" t="s">
        <v>101</v>
      </c>
      <c r="D8" s="8">
        <f>IF(COUNT(E8:BB8)&gt;30,30,COUNT(E8:BB8))</f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>
        <f>ROUND((476-70)*400/476,0)+100</f>
        <v>441</v>
      </c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8">
        <v>8</v>
      </c>
      <c r="B9" s="9">
        <f>SUM(E9:BB9)</f>
        <v>403</v>
      </c>
      <c r="C9" s="8" t="s">
        <v>21</v>
      </c>
      <c r="D9" s="8">
        <f>IF(COUNT(E9:BB9)&gt;30,30,COUNT(E9:BB9))</f>
        <v>4</v>
      </c>
      <c r="E9" s="8"/>
      <c r="F9" s="8">
        <f>375-293</f>
        <v>82</v>
      </c>
      <c r="G9" s="8"/>
      <c r="H9" s="8"/>
      <c r="I9" s="8"/>
      <c r="J9" s="8"/>
      <c r="K9" s="8"/>
      <c r="L9" s="8">
        <f>ROUND((2083-1116)*400/2083,0)</f>
        <v>186</v>
      </c>
      <c r="M9" s="8"/>
      <c r="N9" s="8"/>
      <c r="O9" s="8"/>
      <c r="P9" s="8"/>
      <c r="Q9" s="8"/>
      <c r="R9" s="8"/>
      <c r="S9" s="8"/>
      <c r="T9" s="8">
        <f>ROUND((2765-2094)*400/2765,0)</f>
        <v>97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>
        <f>ROUND((52724-47728)*400/52724,0)</f>
        <v>38</v>
      </c>
      <c r="AL9" s="8"/>
      <c r="AM9" s="8"/>
      <c r="AN9" s="9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8">
        <v>9</v>
      </c>
      <c r="B10" s="9">
        <f>SUM(E10:BB10)</f>
        <v>359</v>
      </c>
      <c r="C10" s="8" t="s">
        <v>71</v>
      </c>
      <c r="D10" s="8">
        <f>IF(COUNT(E10:BB10)&gt;30,30,COUNT(E10:BB10))</f>
        <v>2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>
        <f>ROUND((845-400)*400/845,0)</f>
        <v>211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>
        <f>273-125</f>
        <v>148</v>
      </c>
      <c r="AK10" s="8"/>
      <c r="AL10" s="8"/>
      <c r="AM10" s="8"/>
      <c r="AN10" s="9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  <row r="11" spans="1:54" x14ac:dyDescent="0.25">
      <c r="A11" s="8">
        <v>10</v>
      </c>
      <c r="B11" s="9">
        <f>SUM(E11:BB11)</f>
        <v>349</v>
      </c>
      <c r="C11" s="8" t="s">
        <v>22</v>
      </c>
      <c r="D11" s="8">
        <f>IF(COUNT(E11:BB11)&gt;30,30,COUNT(E11:BB11))</f>
        <v>4</v>
      </c>
      <c r="E11" s="8"/>
      <c r="F11" s="8">
        <f>272-207</f>
        <v>65</v>
      </c>
      <c r="G11" s="8"/>
      <c r="H11" s="8"/>
      <c r="I11" s="8"/>
      <c r="J11" s="8"/>
      <c r="K11" s="8">
        <f>369-226</f>
        <v>143</v>
      </c>
      <c r="L11" s="8"/>
      <c r="M11" s="8"/>
      <c r="N11" s="8"/>
      <c r="O11" s="8">
        <f>157-106</f>
        <v>51</v>
      </c>
      <c r="P11" s="8"/>
      <c r="Q11" s="8"/>
      <c r="R11" s="8"/>
      <c r="S11" s="8">
        <f>265-175</f>
        <v>90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9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</row>
    <row r="12" spans="1:54" x14ac:dyDescent="0.25">
      <c r="A12" s="8">
        <v>11</v>
      </c>
      <c r="B12" s="9">
        <f>SUM(E12:BB12)</f>
        <v>339</v>
      </c>
      <c r="C12" s="8" t="s">
        <v>76</v>
      </c>
      <c r="D12" s="8">
        <f>IF(COUNT(E12:BB12)&gt;30,30,COUNT(E12:BB12))</f>
        <v>3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>
        <f>370-291</f>
        <v>79</v>
      </c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9">
        <f>ROUND((947-582)*400/947,0)</f>
        <v>154</v>
      </c>
      <c r="AO12" s="8"/>
      <c r="AP12" s="8"/>
      <c r="AQ12" s="8"/>
      <c r="AR12" s="8"/>
      <c r="AS12" s="8"/>
      <c r="AT12" s="8"/>
      <c r="AU12" s="8"/>
      <c r="AV12" s="8"/>
      <c r="AW12" s="8"/>
      <c r="AX12" s="8">
        <f>ROUND((464-341)*400/464,0)</f>
        <v>106</v>
      </c>
      <c r="AY12" s="8"/>
      <c r="AZ12" s="8"/>
      <c r="BA12" s="8"/>
      <c r="BB12" s="8"/>
    </row>
    <row r="13" spans="1:54" x14ac:dyDescent="0.25">
      <c r="A13" s="8">
        <v>12</v>
      </c>
      <c r="B13" s="9">
        <f>SUM(E13:BB13)</f>
        <v>249</v>
      </c>
      <c r="C13" s="8" t="s">
        <v>56</v>
      </c>
      <c r="D13" s="8">
        <f>IF(COUNT(E13:BB13)&gt;30,30,COUNT(E13:BB13))</f>
        <v>4</v>
      </c>
      <c r="E13" s="8"/>
      <c r="F13" s="8"/>
      <c r="G13" s="8"/>
      <c r="H13" s="8">
        <f>353-279</f>
        <v>74</v>
      </c>
      <c r="I13" s="8"/>
      <c r="J13" s="8"/>
      <c r="K13" s="8"/>
      <c r="L13" s="8"/>
      <c r="M13" s="8"/>
      <c r="N13" s="8"/>
      <c r="O13" s="8"/>
      <c r="P13" s="8"/>
      <c r="Q13" s="8">
        <f>380-328</f>
        <v>52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>
        <f>336-226</f>
        <v>110</v>
      </c>
      <c r="AJ13" s="8"/>
      <c r="AK13" s="8"/>
      <c r="AL13" s="8"/>
      <c r="AM13" s="8"/>
      <c r="AN13" s="9"/>
      <c r="AO13" s="8"/>
      <c r="AP13" s="8"/>
      <c r="AQ13" s="8"/>
      <c r="AR13" s="8"/>
      <c r="AS13" s="8"/>
      <c r="AT13" s="8">
        <f>139-126</f>
        <v>13</v>
      </c>
      <c r="AU13" s="8"/>
      <c r="AV13" s="8"/>
      <c r="AW13" s="8"/>
      <c r="AX13" s="8"/>
      <c r="AY13" s="8"/>
      <c r="AZ13" s="8"/>
      <c r="BA13" s="8"/>
      <c r="BB13" s="8"/>
    </row>
    <row r="14" spans="1:54" x14ac:dyDescent="0.25">
      <c r="A14" s="8">
        <v>13</v>
      </c>
      <c r="B14" s="9">
        <f>SUM(E14:BB14)</f>
        <v>193</v>
      </c>
      <c r="C14" s="8" t="s">
        <v>64</v>
      </c>
      <c r="D14" s="8">
        <f>IF(COUNT(E14:BB14)&gt;30,30,COUNT(E14:BB14))</f>
        <v>2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>
        <f>170-74</f>
        <v>96</v>
      </c>
      <c r="Y14" s="8">
        <f>ROUND((845-640)*400/845,0)</f>
        <v>97</v>
      </c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9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  <row r="15" spans="1:54" x14ac:dyDescent="0.25">
      <c r="A15" s="8">
        <v>14</v>
      </c>
      <c r="B15" s="9">
        <f>SUM(E15:BB15)</f>
        <v>190</v>
      </c>
      <c r="C15" s="8" t="s">
        <v>106</v>
      </c>
      <c r="D15" s="8">
        <f>IF(COUNT(E15:BB15)&gt;30,30,COUNT(E15:BB15))</f>
        <v>1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9"/>
      <c r="AO15" s="8"/>
      <c r="AP15" s="8">
        <f>ROUND((887-466)*400/887,0)</f>
        <v>190</v>
      </c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  <row r="16" spans="1:54" x14ac:dyDescent="0.25">
      <c r="A16" s="8">
        <v>15</v>
      </c>
      <c r="B16" s="9">
        <f>SUM(E16:BB16)</f>
        <v>0</v>
      </c>
      <c r="C16" s="8"/>
      <c r="D16" s="8">
        <f>IF(COUNT(E16:BB16)&gt;30,30,COUNT(E16:BB16))</f>
        <v>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9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</row>
    <row r="17" spans="1:54" x14ac:dyDescent="0.25">
      <c r="A17" s="8">
        <v>16</v>
      </c>
      <c r="B17" s="9">
        <f>SUM(E17:BB17)</f>
        <v>0</v>
      </c>
      <c r="C17" s="8"/>
      <c r="D17" s="8">
        <f>IF(COUNT(E17:BB17)&gt;30,30,COUNT(E17:BB17))</f>
        <v>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9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</row>
    <row r="18" spans="1:54" x14ac:dyDescent="0.25">
      <c r="A18" s="8">
        <v>17</v>
      </c>
      <c r="B18" s="9">
        <f>SUM(E18:BB18)</f>
        <v>0</v>
      </c>
      <c r="C18" s="8"/>
      <c r="D18" s="8">
        <f>IF(COUNT(E18:BB18)&gt;30,30,COUNT(E18:BB18))</f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9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</row>
    <row r="19" spans="1:54" x14ac:dyDescent="0.25">
      <c r="A19" s="8">
        <v>18</v>
      </c>
      <c r="B19" s="9">
        <f>SUM(E19:BB19)</f>
        <v>0</v>
      </c>
      <c r="C19" s="8"/>
      <c r="D19" s="8">
        <f>IF(COUNT(E19:BB19)&gt;30,30,COUNT(E19:BB19))</f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9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</row>
    <row r="20" spans="1:54" x14ac:dyDescent="0.25">
      <c r="A20" s="8">
        <v>19</v>
      </c>
      <c r="B20" s="9">
        <f>SUM(E20:BB20)</f>
        <v>0</v>
      </c>
      <c r="C20" s="8"/>
      <c r="D20" s="8">
        <f>IF(COUNT(E20:BB20)&gt;30,30,COUNT(E20:BB20))</f>
        <v>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9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</row>
    <row r="21" spans="1:54" x14ac:dyDescent="0.25">
      <c r="A21" s="8">
        <v>20</v>
      </c>
      <c r="B21" s="9">
        <f>SUM(E21:BB21)</f>
        <v>0</v>
      </c>
      <c r="C21" s="8"/>
      <c r="D21" s="8">
        <f>IF(COUNT(E21:BB21)&gt;30,30,COUNT(E21:BB21))</f>
        <v>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9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</row>
    <row r="22" spans="1:54" x14ac:dyDescent="0.25">
      <c r="A22" s="8">
        <v>21</v>
      </c>
      <c r="B22" s="9">
        <f>SUM(E22:BB22)</f>
        <v>0</v>
      </c>
      <c r="C22" s="8"/>
      <c r="D22" s="8">
        <f>IF(COUNT(E22:BB22)&gt;30,30,COUNT(E22:BB22))</f>
        <v>0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9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</row>
    <row r="23" spans="1:54" x14ac:dyDescent="0.25">
      <c r="A23" s="8">
        <v>22</v>
      </c>
      <c r="B23" s="9">
        <f>SUM(E23:BB23)</f>
        <v>0</v>
      </c>
      <c r="C23" s="8"/>
      <c r="D23" s="8">
        <f>IF(COUNT(E23:BB23)&gt;30,30,COUNT(E23:BB23))</f>
        <v>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9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</row>
    <row r="25" spans="1:54" x14ac:dyDescent="0.25">
      <c r="A25" s="6"/>
    </row>
    <row r="26" spans="1:54" x14ac:dyDescent="0.25">
      <c r="A26" s="7"/>
    </row>
    <row r="28" spans="1:54" x14ac:dyDescent="0.25">
      <c r="D28" cm="1">
        <f t="array" ref="D28">SUMPRODUCT((E2:BB2)*(E2:BB2&gt;=LARGE(E2:BB2,12)))</f>
        <v>3641</v>
      </c>
    </row>
    <row r="29" spans="1:54" x14ac:dyDescent="0.25">
      <c r="D29">
        <f>ROUND((565-83)*400/565,0)</f>
        <v>341</v>
      </c>
    </row>
  </sheetData>
  <sortState xmlns:xlrd2="http://schemas.microsoft.com/office/spreadsheetml/2017/richdata2" ref="A2:BB29">
    <sortCondition descending="1" ref="B2:B29"/>
  </sortState>
  <pageMargins left="0.7" right="0.7" top="0.75" bottom="0.75" header="0.3" footer="0.3"/>
  <pageSetup paperSize="9" orientation="portrait" r:id="rId1"/>
  <headerFooter>
    <oddFooter>&amp;L&amp;1#&amp;"Tahoma"&amp;9&amp;KCF022BC2 – Usage restreint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Hommes</vt:lpstr>
      <vt:lpstr>Femme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Billon</dc:creator>
  <cp:lastModifiedBy>Alice Billon</cp:lastModifiedBy>
  <dcterms:created xsi:type="dcterms:W3CDTF">2016-11-27T13:55:18Z</dcterms:created>
  <dcterms:modified xsi:type="dcterms:W3CDTF">2026-08-16T16:39:11Z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d1f144-26ac-4410-8fdb-05c7de218e82_Enabled">
    <vt:lpwstr>true</vt:lpwstr>
  </property>
  <property fmtid="{D5CDD505-2E9C-101B-9397-08002B2CF9AE}" pid="3" name="MSIP_Label_7bd1f144-26ac-4410-8fdb-05c7de218e82_SetDate">
    <vt:lpwstr>2023-01-13T17:14:39Z</vt:lpwstr>
  </property>
  <property fmtid="{D5CDD505-2E9C-101B-9397-08002B2CF9AE}" pid="4" name="MSIP_Label_7bd1f144-26ac-4410-8fdb-05c7de218e82_Method">
    <vt:lpwstr>Standard</vt:lpwstr>
  </property>
  <property fmtid="{D5CDD505-2E9C-101B-9397-08002B2CF9AE}" pid="5" name="MSIP_Label_7bd1f144-26ac-4410-8fdb-05c7de218e82_Name">
    <vt:lpwstr>FR Usage restreint</vt:lpwstr>
  </property>
  <property fmtid="{D5CDD505-2E9C-101B-9397-08002B2CF9AE}" pid="6" name="MSIP_Label_7bd1f144-26ac-4410-8fdb-05c7de218e82_SiteId">
    <vt:lpwstr>8b87af7d-8647-4dc7-8df4-5f69a2011bb5</vt:lpwstr>
  </property>
  <property fmtid="{D5CDD505-2E9C-101B-9397-08002B2CF9AE}" pid="7" name="MSIP_Label_7bd1f144-26ac-4410-8fdb-05c7de218e82_ActionId">
    <vt:lpwstr>8c1cb4df-019d-431b-ac22-988f35aa1051</vt:lpwstr>
  </property>
  <property fmtid="{D5CDD505-2E9C-101B-9397-08002B2CF9AE}" pid="8" name="MSIP_Label_7bd1f144-26ac-4410-8fdb-05c7de218e82_ContentBits">
    <vt:lpwstr>3</vt:lpwstr>
  </property>
</Properties>
</file>