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billo\Documents\Course à pied\2024-2025\"/>
    </mc:Choice>
  </mc:AlternateContent>
  <xr:revisionPtr revIDLastSave="0" documentId="13_ncr:1_{520BC9B7-93D4-44FE-9244-7C73FEFFE67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Hommes" sheetId="1" r:id="rId1"/>
    <sheet name="Femme" sheetId="3" r:id="rId2"/>
  </sheets>
  <definedNames>
    <definedName name="_xlnm._FilterDatabase" localSheetId="1" hidden="1">Femme!$A$1:$D$29</definedName>
    <definedName name="_xlnm._FilterDatabase" localSheetId="0" hidden="1">Hommes!$A$1:$D$32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2" i="3" l="1"/>
  <c r="BP10" i="1"/>
  <c r="BO6" i="1"/>
  <c r="BE7" i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" i="3"/>
  <c r="D3" i="3"/>
  <c r="BN7" i="1"/>
  <c r="BM14" i="1"/>
  <c r="B14" i="1" s="1" a="1"/>
  <c r="B14" i="1" s="1"/>
  <c r="BM12" i="1"/>
  <c r="B12" i="1" a="1"/>
  <c r="B12" i="1" s="1"/>
  <c r="BL5" i="1"/>
  <c r="AH3" i="3"/>
  <c r="BK15" i="1"/>
  <c r="AG4" i="3"/>
  <c r="AF2" i="3"/>
  <c r="BJ14" i="1"/>
  <c r="AC2" i="3"/>
  <c r="AE6" i="3"/>
  <c r="BI13" i="1"/>
  <c r="BI9" i="1"/>
  <c r="BI8" i="1"/>
  <c r="BI6" i="1"/>
  <c r="BI5" i="1"/>
  <c r="BI3" i="1"/>
  <c r="AE3" i="3"/>
  <c r="B4" i="3" a="1"/>
  <c r="B4" i="3" s="1"/>
  <c r="AD4" i="3"/>
  <c r="BH20" i="1"/>
  <c r="BH6" i="1"/>
  <c r="BG11" i="1"/>
  <c r="BG15" i="1"/>
  <c r="BF3" i="1"/>
  <c r="BE12" i="1"/>
  <c r="AC5" i="3"/>
  <c r="B5" i="3" s="1"/>
  <c r="AB3" i="3"/>
  <c r="AM4" i="1"/>
  <c r="AA6" i="3"/>
  <c r="BD19" i="1"/>
  <c r="BC6" i="1"/>
  <c r="B9" i="1" a="1"/>
  <c r="B9" i="1" s="1"/>
  <c r="B11" i="1" a="1"/>
  <c r="B11" i="1" s="1"/>
  <c r="B3" i="1" a="1"/>
  <c r="B3" i="1" s="1"/>
  <c r="BB9" i="1"/>
  <c r="BB7" i="1"/>
  <c r="BA2" i="1"/>
  <c r="Z3" i="3"/>
  <c r="W3" i="3"/>
  <c r="Y10" i="3"/>
  <c r="B10" i="3" s="1"/>
  <c r="Y6" i="3"/>
  <c r="AY3" i="1"/>
  <c r="AU10" i="1"/>
  <c r="AZ6" i="1"/>
  <c r="AZ21" i="1"/>
  <c r="AX16" i="1"/>
  <c r="AX2" i="1"/>
  <c r="AV20" i="1"/>
  <c r="AW15" i="1"/>
  <c r="AV3" i="1"/>
  <c r="AW5" i="1"/>
  <c r="B5" i="1" s="1" a="1"/>
  <c r="B5" i="1" s="1"/>
  <c r="X4" i="3"/>
  <c r="R2" i="3"/>
  <c r="B2" i="3" s="1" a="1"/>
  <c r="B2" i="3" s="1"/>
  <c r="AU22" i="1"/>
  <c r="D22" i="1" s="1"/>
  <c r="AU15" i="1"/>
  <c r="AU11" i="1"/>
  <c r="B15" i="1"/>
  <c r="B10" i="1" a="1"/>
  <c r="B10" i="1" s="1"/>
  <c r="AM8" i="1"/>
  <c r="AT7" i="1"/>
  <c r="AT8" i="1"/>
  <c r="AT5" i="1"/>
  <c r="AS16" i="1"/>
  <c r="AR14" i="1"/>
  <c r="AR13" i="1"/>
  <c r="V3" i="3"/>
  <c r="R3" i="3"/>
  <c r="AP3" i="1"/>
  <c r="U7" i="3"/>
  <c r="T8" i="3"/>
  <c r="B8" i="3" s="1"/>
  <c r="AQ18" i="1"/>
  <c r="AO10" i="1"/>
  <c r="AP7" i="1"/>
  <c r="AN16" i="1"/>
  <c r="S4" i="3"/>
  <c r="S9" i="3"/>
  <c r="S3" i="3"/>
  <c r="AN25" i="1"/>
  <c r="AN20" i="1"/>
  <c r="AN17" i="1"/>
  <c r="AN11" i="1"/>
  <c r="AN10" i="1"/>
  <c r="AN2" i="1"/>
  <c r="B2" i="1" a="1"/>
  <c r="B2" i="1" s="1"/>
  <c r="D28" i="3" a="1"/>
  <c r="D28" i="3" s="1"/>
  <c r="AM18" i="1"/>
  <c r="B4" i="1" a="1"/>
  <c r="B4" i="1" s="1"/>
  <c r="B6" i="1" a="1"/>
  <c r="B6" i="1" s="1"/>
  <c r="AM21" i="1"/>
  <c r="AM11" i="1"/>
  <c r="AM14" i="1"/>
  <c r="AM3" i="1"/>
  <c r="AM12" i="1"/>
  <c r="AM17" i="1"/>
  <c r="AM9" i="1"/>
  <c r="AM6" i="1"/>
  <c r="AM7" i="1"/>
  <c r="AM5" i="1"/>
  <c r="AL5" i="1"/>
  <c r="AL7" i="1"/>
  <c r="B7" i="1" s="1" a="1"/>
  <c r="B7" i="1" s="1"/>
  <c r="AI2" i="1"/>
  <c r="AK19" i="1"/>
  <c r="AK4" i="1"/>
  <c r="AJ6" i="1"/>
  <c r="D31" i="1" a="1"/>
  <c r="D31" i="1" s="1"/>
  <c r="AI13" i="1"/>
  <c r="AI16" i="1"/>
  <c r="D16" i="1" s="1"/>
  <c r="AI10" i="1"/>
  <c r="AI4" i="1"/>
  <c r="W2" i="1"/>
  <c r="AH2" i="1"/>
  <c r="AH10" i="1"/>
  <c r="AG19" i="1"/>
  <c r="Q5" i="3"/>
  <c r="Q3" i="3"/>
  <c r="Q2" i="3"/>
  <c r="AF24" i="1"/>
  <c r="AF14" i="1"/>
  <c r="AF10" i="1"/>
  <c r="AF12" i="1"/>
  <c r="AF6" i="1"/>
  <c r="AF7" i="1"/>
  <c r="AF9" i="1"/>
  <c r="P2" i="3"/>
  <c r="AE4" i="1"/>
  <c r="O3" i="3"/>
  <c r="K3" i="3"/>
  <c r="AD4" i="1"/>
  <c r="AC26" i="1"/>
  <c r="N11" i="3"/>
  <c r="B11" i="3" s="1"/>
  <c r="M2" i="3"/>
  <c r="AB18" i="1"/>
  <c r="AA13" i="1"/>
  <c r="Z4" i="1"/>
  <c r="AA7" i="1"/>
  <c r="Z11" i="1"/>
  <c r="Z14" i="1"/>
  <c r="Z10" i="1"/>
  <c r="Z6" i="1"/>
  <c r="U8" i="1"/>
  <c r="L4" i="3"/>
  <c r="L3" i="3"/>
  <c r="Y12" i="1"/>
  <c r="Y17" i="1"/>
  <c r="Y4" i="1"/>
  <c r="Y7" i="1"/>
  <c r="Y5" i="1"/>
  <c r="V13" i="1"/>
  <c r="X9" i="1"/>
  <c r="V17" i="1"/>
  <c r="W23" i="1"/>
  <c r="B23" i="1" s="1"/>
  <c r="W18" i="1"/>
  <c r="U5" i="1"/>
  <c r="K5" i="3"/>
  <c r="K4" i="3"/>
  <c r="U12" i="1"/>
  <c r="U11" i="1"/>
  <c r="U14" i="1"/>
  <c r="T7" i="1"/>
  <c r="S8" i="1"/>
  <c r="J6" i="3"/>
  <c r="G2" i="3"/>
  <c r="P5" i="1"/>
  <c r="H5" i="3"/>
  <c r="H3" i="3"/>
  <c r="I4" i="3"/>
  <c r="R11" i="1"/>
  <c r="Q2" i="1"/>
  <c r="O3" i="1"/>
  <c r="O20" i="1"/>
  <c r="O19" i="1"/>
  <c r="B19" i="1" s="1"/>
  <c r="O10" i="1"/>
  <c r="O6" i="1"/>
  <c r="K3" i="1"/>
  <c r="N9" i="1"/>
  <c r="N7" i="1"/>
  <c r="M20" i="1"/>
  <c r="J24" i="1"/>
  <c r="F2" i="3"/>
  <c r="L4" i="1"/>
  <c r="E2" i="1"/>
  <c r="E6" i="3"/>
  <c r="B6" i="3" s="1"/>
  <c r="G21" i="1"/>
  <c r="H7" i="1"/>
  <c r="I9" i="1"/>
  <c r="I14" i="1"/>
  <c r="I6" i="1"/>
  <c r="I4" i="1"/>
  <c r="I2" i="1"/>
  <c r="F2" i="1"/>
  <c r="E5" i="1"/>
  <c r="E17" i="1"/>
  <c r="B17" i="1" s="1"/>
  <c r="E7" i="1"/>
  <c r="B24" i="1"/>
  <c r="B16" i="1"/>
  <c r="B9" i="3"/>
  <c r="D25" i="1"/>
  <c r="B12" i="3"/>
  <c r="D26" i="1"/>
  <c r="B13" i="3"/>
  <c r="B7" i="3"/>
  <c r="B14" i="3"/>
  <c r="B15" i="3"/>
  <c r="B16" i="3"/>
  <c r="B17" i="3"/>
  <c r="B18" i="3"/>
  <c r="B19" i="3"/>
  <c r="B20" i="3"/>
  <c r="B21" i="3"/>
  <c r="B22" i="3"/>
  <c r="B23" i="3"/>
  <c r="D32" i="1"/>
  <c r="D29" i="3"/>
  <c r="B20" i="1" l="1"/>
  <c r="B3" i="3" a="1"/>
  <c r="B3" i="3" s="1"/>
  <c r="B18" i="1"/>
  <c r="B21" i="1"/>
  <c r="B13" i="1"/>
  <c r="B8" i="1"/>
  <c r="D2" i="1"/>
  <c r="B22" i="1"/>
  <c r="D7" i="1"/>
  <c r="B25" i="1"/>
  <c r="D3" i="1"/>
  <c r="D13" i="1"/>
  <c r="D8" i="1"/>
  <c r="B26" i="1"/>
  <c r="D23" i="1"/>
  <c r="D15" i="1"/>
  <c r="D12" i="1"/>
  <c r="D17" i="1"/>
  <c r="D24" i="1"/>
  <c r="D21" i="1"/>
  <c r="D4" i="1"/>
  <c r="D18" i="1"/>
  <c r="D20" i="1"/>
  <c r="D10" i="1"/>
  <c r="D6" i="1"/>
  <c r="D5" i="1"/>
  <c r="D19" i="1"/>
  <c r="D11" i="1"/>
  <c r="D14" i="1"/>
  <c r="D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<sst xmlns="http://schemas.openxmlformats.org/spreadsheetml/2006/main" count="138" uniqueCount="112">
  <si>
    <t>Place</t>
  </si>
  <si>
    <t>Points</t>
  </si>
  <si>
    <t>Nom</t>
  </si>
  <si>
    <t>Nombre courses</t>
  </si>
  <si>
    <t>ARNIAUD Eric</t>
  </si>
  <si>
    <t>DURANT Ludovic</t>
  </si>
  <si>
    <t>LAPOUS Kevin</t>
  </si>
  <si>
    <t>LECAT Guillaume</t>
  </si>
  <si>
    <t>Foulée Ressource 05/10</t>
  </si>
  <si>
    <t>Rognac 06/10</t>
  </si>
  <si>
    <t>Auriol 13/10</t>
  </si>
  <si>
    <t>Cabro d'or 13/10</t>
  </si>
  <si>
    <t>MARMOLLE Franck</t>
  </si>
  <si>
    <t>GORI Christophe</t>
  </si>
  <si>
    <t>MOUNE Pascal</t>
  </si>
  <si>
    <t>PEREZ Philippe</t>
  </si>
  <si>
    <t>AUGER Blaise</t>
  </si>
  <si>
    <t>BACHELET Yannick</t>
  </si>
  <si>
    <t>Monteux 12/10</t>
  </si>
  <si>
    <t>Saint-Firmin 13/10</t>
  </si>
  <si>
    <t>Réunion 19/10</t>
  </si>
  <si>
    <t>Amsterdam 20/10</t>
  </si>
  <si>
    <t>Trets 20/10</t>
  </si>
  <si>
    <t>CARVALHO Tania</t>
  </si>
  <si>
    <t>BOISSONT Sophie</t>
  </si>
  <si>
    <t>SERRES VINCENT</t>
  </si>
  <si>
    <t>FOURNIE Eric</t>
  </si>
  <si>
    <t>Marseille 20/10</t>
  </si>
  <si>
    <t>Martigues 27/10</t>
  </si>
  <si>
    <t>MK6 27/10</t>
  </si>
  <si>
    <t>DAUBROSSE Olivier</t>
  </si>
  <si>
    <t>ROS Lionel</t>
  </si>
  <si>
    <t>Roquefort 2/11</t>
  </si>
  <si>
    <t>Roquefort 3/11</t>
  </si>
  <si>
    <t>Hyères 3/11</t>
  </si>
  <si>
    <t>Bruxelles 3/11</t>
  </si>
  <si>
    <t>BILLON Ludovic</t>
  </si>
  <si>
    <t>BIZOT Benjamin</t>
  </si>
  <si>
    <t>BILLON Alexia</t>
  </si>
  <si>
    <t>BILLON Alice</t>
  </si>
  <si>
    <t>VAUTIER Alix</t>
  </si>
  <si>
    <t>Uzes 9/11</t>
  </si>
  <si>
    <t>Marseille 10/11</t>
  </si>
  <si>
    <t>ABRACHY Franck</t>
  </si>
  <si>
    <t>Velodrome 17/11</t>
  </si>
  <si>
    <t>Bacchantes 17/11</t>
  </si>
  <si>
    <t>ST-Cannat 17/11</t>
  </si>
  <si>
    <t>MERANDAT Marc</t>
  </si>
  <si>
    <t>GARCIA Pierre</t>
  </si>
  <si>
    <t>PEREZ Thomas</t>
  </si>
  <si>
    <t>Eguilles 24/11</t>
  </si>
  <si>
    <t>Valence 01/12</t>
  </si>
  <si>
    <t>Sausset 08/12</t>
  </si>
  <si>
    <t>Hyeres 08/12</t>
  </si>
  <si>
    <t>TANNIOU Maguy</t>
  </si>
  <si>
    <t>Ollioulles 08/12</t>
  </si>
  <si>
    <t>TANNIOU Yves</t>
  </si>
  <si>
    <t>Durance 15/12</t>
  </si>
  <si>
    <t>Nice 05/01</t>
  </si>
  <si>
    <t>Fuveau 05/01</t>
  </si>
  <si>
    <t>Gardanne 12/01</t>
  </si>
  <si>
    <t>Port de bouc 19/01</t>
  </si>
  <si>
    <t>Salon 02/02</t>
  </si>
  <si>
    <t>Mouries 02/02</t>
  </si>
  <si>
    <t>DEPOYANT Cyril</t>
  </si>
  <si>
    <t>St-Remy 23/02</t>
  </si>
  <si>
    <t>Cuges 23/02</t>
  </si>
  <si>
    <t>Aix 02/03</t>
  </si>
  <si>
    <t>Ekiden 09/03</t>
  </si>
  <si>
    <t>BOU Nicolas</t>
  </si>
  <si>
    <t>BOU Marielle</t>
  </si>
  <si>
    <t>Rambouillet 16/03</t>
  </si>
  <si>
    <t>Greasque 16/03</t>
  </si>
  <si>
    <t>Hyeres 16/03</t>
  </si>
  <si>
    <t>MERANDAT Valérie</t>
  </si>
  <si>
    <t>SIJOBERT Marion</t>
  </si>
  <si>
    <t>Marseille 06/04</t>
  </si>
  <si>
    <t>Tullins 06/04</t>
  </si>
  <si>
    <t>TSV 06/04</t>
  </si>
  <si>
    <t>Paris 13/04</t>
  </si>
  <si>
    <t>PROUVENT Romain</t>
  </si>
  <si>
    <t>TONDOUX Aurélien</t>
  </si>
  <si>
    <t>Annecy 26/04</t>
  </si>
  <si>
    <t>Istres 27/04</t>
  </si>
  <si>
    <t>Peynier 27/04</t>
  </si>
  <si>
    <t>Loubatas 27/04</t>
  </si>
  <si>
    <t>Trail fion 01/05</t>
  </si>
  <si>
    <t>Nimes 01/05</t>
  </si>
  <si>
    <t>Boucles bel air 04/05</t>
  </si>
  <si>
    <t>ABRACHY Anais</t>
  </si>
  <si>
    <t>Pau 04/05</t>
  </si>
  <si>
    <t>Sollies-Pont 08/05</t>
  </si>
  <si>
    <t>Peynier 17/05</t>
  </si>
  <si>
    <t>Mimet 18/05</t>
  </si>
  <si>
    <t>Venelles 25/05</t>
  </si>
  <si>
    <t>THP 30 et 31/05</t>
  </si>
  <si>
    <t>VVX 30/05</t>
  </si>
  <si>
    <t>THP 30/05</t>
  </si>
  <si>
    <t>Parentis 31/05</t>
  </si>
  <si>
    <t>Foulee Cedre 08/06</t>
  </si>
  <si>
    <t>Foulee cedre 08/06</t>
  </si>
  <si>
    <t>Sausset 08/06</t>
  </si>
  <si>
    <t>Meyreuil 15/06</t>
  </si>
  <si>
    <t>Martigues-Carro 22/06</t>
  </si>
  <si>
    <t>Nocturne Puyricard 28/06</t>
  </si>
  <si>
    <t>Chartreuse 29/06</t>
  </si>
  <si>
    <t>Chatelard 06/07</t>
  </si>
  <si>
    <t>Queyras 05/07</t>
  </si>
  <si>
    <t>Hyeges 06/07</t>
  </si>
  <si>
    <t>Ronde ponts bleus 26/07</t>
  </si>
  <si>
    <t>Sarzeau 07/08</t>
  </si>
  <si>
    <t>Queyras 17/08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</si>
</sst>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 shrinkToFit="1"/>
    </xf>
    <xf numFmtId="0" fontId="0" fillId="3" borderId="0" xfId="0" applyFill="1"/>
    <xf numFmtId="0" fontId="0" fillId="4" borderId="0" xfId="0" applyFill="1"/>
    <xf numFmtId="0" fontId="0" fillId="0" borderId="1" xfId="0" applyBorder="1"/>
    <xf numFmtId="1" fontId="0" fillId="0" borderId="1" xfId="0" applyNumberFormat="1" applyBorder="1"/>
    <xf numFmtId="8" fontId="1" fillId="2" borderId="2" xfId="0" applyNumberFormat="1" applyFont="1" applyFill="1" applyBorder="1" applyAlignment="1">
      <alignment wrapText="1" shrinkToFi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32"/>
  <sheetViews>
    <sheetView workbookViewId="0">
      <pane xSplit="4" ySplit="1" topLeftCell="BD2" activePane="bottomRight" state="frozenSplit"/>
      <selection pane="topRight" activeCell="F1" sqref="F1"/>
      <selection pane="bottomLeft" activeCell="A2" sqref="A2"/>
      <selection pane="bottomRight" activeCell="BP10" sqref="BP10"/>
    </sheetView>
  </sheetViews>
  <sheetFormatPr baseColWidth="10" defaultRowHeight="15" x14ac:dyDescent="0.25"/>
  <cols>
    <col min="1" max="1" width="8" bestFit="1" customWidth="1"/>
    <col min="2" max="2" width="8.85546875" bestFit="1" customWidth="1"/>
    <col min="3" max="3" width="18.28515625" bestFit="1" customWidth="1"/>
    <col min="4" max="4" width="17.7109375" bestFit="1" customWidth="1"/>
    <col min="5" max="5" width="22.140625" bestFit="1" customWidth="1"/>
    <col min="6" max="6" width="12.5703125" bestFit="1" customWidth="1"/>
    <col min="7" max="7" width="14.42578125" bestFit="1" customWidth="1"/>
    <col min="8" max="8" width="11.7109375" bestFit="1" customWidth="1"/>
    <col min="9" max="9" width="15.42578125" bestFit="1" customWidth="1"/>
    <col min="10" max="10" width="17.28515625" bestFit="1" customWidth="1"/>
    <col min="11" max="11" width="13.7109375" bestFit="1" customWidth="1"/>
    <col min="12" max="12" width="16.7109375" bestFit="1" customWidth="1"/>
    <col min="13" max="13" width="14.7109375" bestFit="1" customWidth="1"/>
    <col min="14" max="14" width="15.28515625" bestFit="1" customWidth="1"/>
    <col min="15" max="15" width="10.28515625" bestFit="1" customWidth="1"/>
    <col min="16" max="17" width="14.28515625" bestFit="1" customWidth="1"/>
    <col min="18" max="18" width="11.42578125" bestFit="1" customWidth="1"/>
    <col min="19" max="19" width="13.5703125" bestFit="1" customWidth="1"/>
    <col min="20" max="20" width="9.5703125" bestFit="1" customWidth="1"/>
    <col min="21" max="21" width="14.7109375" bestFit="1" customWidth="1"/>
    <col min="22" max="22" width="17.5703125" bestFit="1" customWidth="1"/>
    <col min="23" max="23" width="16.28515625" bestFit="1" customWidth="1"/>
    <col min="24" max="24" width="15" bestFit="1" customWidth="1"/>
    <col min="25" max="25" width="14" bestFit="1" customWidth="1"/>
    <col min="26" max="26" width="14.140625" bestFit="1" customWidth="1"/>
    <col min="27" max="27" width="13" bestFit="1" customWidth="1"/>
    <col min="28" max="28" width="12.42578125" bestFit="1" customWidth="1"/>
    <col min="29" max="29" width="12.140625" bestFit="1" customWidth="1"/>
    <col min="30" max="30" width="13.5703125" bestFit="1" customWidth="1"/>
    <col min="31" max="31" width="10.28515625" bestFit="1" customWidth="1"/>
    <col min="32" max="32" width="12.7109375" bestFit="1" customWidth="1"/>
    <col min="33" max="33" width="9.7109375" bestFit="1" customWidth="1"/>
    <col min="34" max="34" width="12.42578125" customWidth="1"/>
    <col min="35" max="35" width="7.5703125" bestFit="1" customWidth="1"/>
    <col min="36" max="36" width="11.85546875" bestFit="1" customWidth="1"/>
    <col min="37" max="38" width="10.5703125" bestFit="1" customWidth="1"/>
    <col min="39" max="39" width="10.7109375" bestFit="1" customWidth="1"/>
    <col min="40" max="40" width="13.42578125" bestFit="1" customWidth="1"/>
    <col min="41" max="41" width="11.5703125" customWidth="1"/>
    <col min="42" max="42" width="9.5703125" bestFit="1" customWidth="1"/>
    <col min="43" max="43" width="7.140625" bestFit="1" customWidth="1"/>
    <col min="44" max="44" width="9.28515625" bestFit="1" customWidth="1"/>
    <col min="45" max="45" width="9.5703125" bestFit="1" customWidth="1"/>
    <col min="46" max="46" width="9.85546875" bestFit="1" customWidth="1"/>
    <col min="47" max="47" width="8.28515625" bestFit="1" customWidth="1"/>
    <col min="48" max="48" width="14.140625" bestFit="1" customWidth="1"/>
    <col min="49" max="49" width="9.85546875" bestFit="1" customWidth="1"/>
    <col min="50" max="50" width="14.140625" bestFit="1" customWidth="1"/>
    <col min="51" max="51" width="14.5703125" bestFit="1" customWidth="1"/>
    <col min="52" max="52" width="14.140625" bestFit="1" customWidth="1"/>
    <col min="53" max="53" width="15.5703125" bestFit="1" customWidth="1"/>
    <col min="54" max="54" width="12.7109375" bestFit="1" customWidth="1"/>
    <col min="55" max="55" width="15.5703125" bestFit="1" customWidth="1"/>
    <col min="56" max="56" width="16.42578125" customWidth="1"/>
    <col min="57" max="57" width="14.42578125" bestFit="1" customWidth="1"/>
    <col min="58" max="58" width="13.5703125" bestFit="1" customWidth="1"/>
    <col min="59" max="59" width="13.5703125" customWidth="1"/>
    <col min="60" max="60" width="13" bestFit="1" customWidth="1"/>
    <col min="61" max="61" width="14.42578125" bestFit="1" customWidth="1"/>
    <col min="62" max="62" width="15.42578125" bestFit="1" customWidth="1"/>
    <col min="63" max="63" width="16.140625" bestFit="1" customWidth="1"/>
    <col min="64" max="64" width="13.5703125" bestFit="1" customWidth="1"/>
    <col min="65" max="65" width="14.85546875" bestFit="1" customWidth="1"/>
    <col min="66" max="66" width="12.7109375" bestFit="1" customWidth="1"/>
    <col min="67" max="67" width="19" customWidth="1"/>
    <col min="68" max="69" width="15.5703125" customWidth="1"/>
  </cols>
  <sheetData>
    <row r="1" spans="1:69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8</v>
      </c>
      <c r="F1" s="2" t="s">
        <v>9</v>
      </c>
      <c r="G1" s="2" t="s">
        <v>18</v>
      </c>
      <c r="H1" s="2" t="s">
        <v>10</v>
      </c>
      <c r="I1" s="2" t="s">
        <v>11</v>
      </c>
      <c r="J1" s="2" t="s">
        <v>19</v>
      </c>
      <c r="K1" s="1" t="s">
        <v>20</v>
      </c>
      <c r="L1" s="1" t="s">
        <v>21</v>
      </c>
      <c r="M1" s="4" t="s">
        <v>27</v>
      </c>
      <c r="N1" s="2" t="s">
        <v>28</v>
      </c>
      <c r="O1" s="1" t="s">
        <v>29</v>
      </c>
      <c r="P1" s="3" t="s">
        <v>32</v>
      </c>
      <c r="Q1" s="3" t="s">
        <v>33</v>
      </c>
      <c r="R1" s="5" t="s">
        <v>34</v>
      </c>
      <c r="S1" s="5" t="s">
        <v>35</v>
      </c>
      <c r="T1" s="5" t="s">
        <v>41</v>
      </c>
      <c r="U1" s="5" t="s">
        <v>42</v>
      </c>
      <c r="V1" s="5" t="s">
        <v>44</v>
      </c>
      <c r="W1" s="5" t="s">
        <v>45</v>
      </c>
      <c r="X1" s="5" t="s">
        <v>46</v>
      </c>
      <c r="Y1" s="5" t="s">
        <v>50</v>
      </c>
      <c r="Z1" s="5" t="s">
        <v>51</v>
      </c>
      <c r="AA1" s="5" t="s">
        <v>52</v>
      </c>
      <c r="AB1" s="5" t="s">
        <v>53</v>
      </c>
      <c r="AC1" s="5" t="s">
        <v>55</v>
      </c>
      <c r="AD1" s="5" t="s">
        <v>57</v>
      </c>
      <c r="AE1" s="5" t="s">
        <v>58</v>
      </c>
      <c r="AF1" s="5" t="s">
        <v>59</v>
      </c>
      <c r="AG1" s="5" t="s">
        <v>60</v>
      </c>
      <c r="AH1" s="5" t="s">
        <v>61</v>
      </c>
      <c r="AI1" s="5" t="s">
        <v>62</v>
      </c>
      <c r="AJ1" s="5" t="s">
        <v>63</v>
      </c>
      <c r="AK1" s="5" t="s">
        <v>65</v>
      </c>
      <c r="AL1" s="5" t="s">
        <v>66</v>
      </c>
      <c r="AM1" s="5" t="s">
        <v>67</v>
      </c>
      <c r="AN1" s="5" t="s">
        <v>68</v>
      </c>
      <c r="AO1" s="5" t="s">
        <v>71</v>
      </c>
      <c r="AP1" s="5" t="s">
        <v>72</v>
      </c>
      <c r="AQ1" s="5" t="s">
        <v>73</v>
      </c>
      <c r="AR1" s="5" t="s">
        <v>76</v>
      </c>
      <c r="AS1" s="5" t="s">
        <v>77</v>
      </c>
      <c r="AT1" s="5" t="s">
        <v>78</v>
      </c>
      <c r="AU1" s="5" t="s">
        <v>79</v>
      </c>
      <c r="AV1" s="5" t="s">
        <v>84</v>
      </c>
      <c r="AW1" s="5" t="s">
        <v>85</v>
      </c>
      <c r="AX1" s="5" t="s">
        <v>86</v>
      </c>
      <c r="AY1" s="5" t="s">
        <v>87</v>
      </c>
      <c r="AZ1" s="5" t="s">
        <v>88</v>
      </c>
      <c r="BA1" s="5" t="s">
        <v>91</v>
      </c>
      <c r="BB1" s="5" t="s">
        <v>92</v>
      </c>
      <c r="BC1" s="5" t="s">
        <v>93</v>
      </c>
      <c r="BD1" s="5" t="s">
        <v>94</v>
      </c>
      <c r="BE1" s="5" t="s">
        <v>95</v>
      </c>
      <c r="BF1" s="5" t="s">
        <v>98</v>
      </c>
      <c r="BG1" s="5" t="s">
        <v>100</v>
      </c>
      <c r="BH1" s="5" t="s">
        <v>101</v>
      </c>
      <c r="BI1" s="5" t="s">
        <v>102</v>
      </c>
      <c r="BJ1" s="5" t="s">
        <v>103</v>
      </c>
      <c r="BK1" s="5" t="s">
        <v>105</v>
      </c>
      <c r="BL1" s="10" t="s">
        <v>107</v>
      </c>
      <c r="BM1" s="10" t="s">
        <v>106</v>
      </c>
      <c r="BN1" s="10" t="s">
        <v>108</v>
      </c>
      <c r="BO1" s="5" t="s">
        <v>109</v>
      </c>
      <c r="BP1" s="5" t="s">
        <v>110</v>
      </c>
      <c r="BQ1" s="5"/>
    </row>
    <row r="2" spans="1:69" x14ac:dyDescent="0.25">
      <c r="A2" s="8">
        <v>1</v>
      </c>
      <c r="B2" s="9" cm="1">
        <f t="array" ref="B2">SUMPRODUCT((E2:BQ2)*(E2:BQ2&gt;=LARGE(E2:BQ2,6)))</f>
        <v>2650</v>
      </c>
      <c r="C2" s="8" t="s">
        <v>4</v>
      </c>
      <c r="D2" s="8">
        <f t="shared" ref="D2:D26" si="0">IF(COUNT(E2:BQ2)&gt;100,100,COUNT(E2:BQ2))</f>
        <v>10</v>
      </c>
      <c r="E2" s="8">
        <f>ROUND((424-14)*400/424,0)+50</f>
        <v>437</v>
      </c>
      <c r="F2" s="8">
        <f>ROUND((444-38)*400/444,0)+50</f>
        <v>416</v>
      </c>
      <c r="G2" s="8"/>
      <c r="H2" s="8"/>
      <c r="I2" s="8">
        <f>261-15+50</f>
        <v>296</v>
      </c>
      <c r="J2" s="8"/>
      <c r="K2" s="8"/>
      <c r="L2" s="8"/>
      <c r="M2" s="8"/>
      <c r="N2" s="8"/>
      <c r="O2" s="8"/>
      <c r="P2" s="8"/>
      <c r="Q2" s="8">
        <f>ROUND((961-31)*400/961,0)+100</f>
        <v>487</v>
      </c>
      <c r="R2" s="8"/>
      <c r="S2" s="8"/>
      <c r="T2" s="8"/>
      <c r="U2" s="8"/>
      <c r="V2" s="8"/>
      <c r="W2" s="8">
        <f>ROUND((1870-30)*400/1870,0)+100</f>
        <v>494</v>
      </c>
      <c r="X2" s="8"/>
      <c r="Y2" s="8"/>
      <c r="Z2" s="8"/>
      <c r="AA2" s="8"/>
      <c r="AB2" s="8"/>
      <c r="AC2" s="8"/>
      <c r="AD2" s="8"/>
      <c r="AE2" s="8"/>
      <c r="AF2" s="8"/>
      <c r="AG2" s="8"/>
      <c r="AH2" s="8">
        <f>308-22+100</f>
        <v>386</v>
      </c>
      <c r="AI2" s="8">
        <f>ROUND((590-76)*400/590,0)+50</f>
        <v>398</v>
      </c>
      <c r="AJ2" s="8"/>
      <c r="AK2" s="8"/>
      <c r="AL2" s="8"/>
      <c r="AM2" s="8"/>
      <c r="AN2" s="8">
        <f>98-16</f>
        <v>82</v>
      </c>
      <c r="AO2" s="9"/>
      <c r="AP2" s="8"/>
      <c r="AQ2" s="8"/>
      <c r="AR2" s="8"/>
      <c r="AS2" s="8"/>
      <c r="AT2" s="8"/>
      <c r="AU2" s="8"/>
      <c r="AV2" s="8"/>
      <c r="AW2" s="8"/>
      <c r="AX2" s="8">
        <f>160-29+20</f>
        <v>151</v>
      </c>
      <c r="AY2" s="8"/>
      <c r="AZ2" s="8"/>
      <c r="BA2" s="8">
        <f>331-13+100</f>
        <v>418</v>
      </c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</row>
    <row r="3" spans="1:69" x14ac:dyDescent="0.25">
      <c r="A3" s="8">
        <v>2</v>
      </c>
      <c r="B3" s="9" cm="1">
        <f t="array" ref="B3">SUMPRODUCT((E3:BQ3)*(E3:BQ3&gt;=LARGE(E3:BQ3,6)))</f>
        <v>2211</v>
      </c>
      <c r="C3" s="8" t="s">
        <v>25</v>
      </c>
      <c r="D3" s="8">
        <f t="shared" si="0"/>
        <v>8</v>
      </c>
      <c r="E3" s="8"/>
      <c r="F3" s="8"/>
      <c r="G3" s="8"/>
      <c r="H3" s="8"/>
      <c r="I3" s="8"/>
      <c r="J3" s="8"/>
      <c r="K3" s="8">
        <f>ROUND((2014-252)*400/2014,0)</f>
        <v>350</v>
      </c>
      <c r="L3" s="8"/>
      <c r="M3" s="8"/>
      <c r="N3" s="8"/>
      <c r="O3" s="8">
        <f>ROUND((19799-1153)*400/19799,0)</f>
        <v>377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>
        <f>ROUND((754-79)*400/754,0)</f>
        <v>358</v>
      </c>
      <c r="AN3" s="8"/>
      <c r="AO3" s="9"/>
      <c r="AP3" s="8">
        <f>209-7+100</f>
        <v>302</v>
      </c>
      <c r="AQ3" s="8"/>
      <c r="AR3" s="8"/>
      <c r="AS3" s="8"/>
      <c r="AT3" s="8"/>
      <c r="AU3" s="8"/>
      <c r="AV3" s="8">
        <f>176-10</f>
        <v>166</v>
      </c>
      <c r="AW3" s="8"/>
      <c r="AX3" s="8"/>
      <c r="AY3" s="8">
        <f>ROUND((2131-106)*400/2131,0)</f>
        <v>380</v>
      </c>
      <c r="AZ3" s="8"/>
      <c r="BA3" s="8"/>
      <c r="BB3" s="8"/>
      <c r="BC3" s="8"/>
      <c r="BD3" s="8"/>
      <c r="BE3" s="8"/>
      <c r="BF3" s="8">
        <f>354-10+100</f>
        <v>444</v>
      </c>
      <c r="BG3" s="8"/>
      <c r="BH3" s="8"/>
      <c r="BI3" s="8">
        <f>113-14+50</f>
        <v>149</v>
      </c>
      <c r="BJ3" s="8"/>
      <c r="BK3" s="8"/>
      <c r="BL3" s="8"/>
      <c r="BM3" s="8"/>
      <c r="BN3" s="8"/>
      <c r="BO3" s="8"/>
      <c r="BP3" s="8"/>
      <c r="BQ3" s="8"/>
    </row>
    <row r="4" spans="1:69" x14ac:dyDescent="0.25">
      <c r="A4" s="8">
        <v>3</v>
      </c>
      <c r="B4" s="9" cm="1">
        <f t="array" ref="B4">SUMPRODUCT((E4:BQ4)*(E4:BQ4&gt;=LARGE(E4:BQ4,6)))</f>
        <v>2201</v>
      </c>
      <c r="C4" s="8" t="s">
        <v>12</v>
      </c>
      <c r="D4" s="8">
        <f t="shared" si="0"/>
        <v>9</v>
      </c>
      <c r="E4" s="8"/>
      <c r="F4" s="8"/>
      <c r="G4" s="8"/>
      <c r="H4" s="8"/>
      <c r="I4" s="8">
        <f>261-27</f>
        <v>234</v>
      </c>
      <c r="J4" s="8"/>
      <c r="K4" s="8"/>
      <c r="L4" s="8">
        <f>ROUND((16763-3975)*400/16763,0)</f>
        <v>305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>
        <f>388-13+100</f>
        <v>475</v>
      </c>
      <c r="Z4" s="8">
        <f>ROUND((36747-8374)*400/36747,0)</f>
        <v>309</v>
      </c>
      <c r="AA4" s="8"/>
      <c r="AB4" s="8"/>
      <c r="AC4" s="8"/>
      <c r="AD4" s="8">
        <f>304-47+50</f>
        <v>307</v>
      </c>
      <c r="AE4" s="8">
        <f>ROUND((9935-1353)*400/9935,0)</f>
        <v>346</v>
      </c>
      <c r="AF4" s="8"/>
      <c r="AG4" s="8"/>
      <c r="AH4" s="8"/>
      <c r="AI4" s="8">
        <f>ROUND((590-113)*400/590,0)</f>
        <v>323</v>
      </c>
      <c r="AJ4" s="8"/>
      <c r="AK4" s="8">
        <f>352-54+20</f>
        <v>318</v>
      </c>
      <c r="AL4" s="8"/>
      <c r="AM4" s="8">
        <f>ROUND((754-38)*400/754,0)+50</f>
        <v>430</v>
      </c>
      <c r="AN4" s="8"/>
      <c r="AO4" s="9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</row>
    <row r="5" spans="1:69" x14ac:dyDescent="0.25">
      <c r="A5" s="8">
        <v>4</v>
      </c>
      <c r="B5" s="9" cm="1">
        <f t="array" ref="B5">SUMPRODUCT((E5:BQ5)*(E5:BQ5&gt;=LARGE(E5:BQ5,6)))</f>
        <v>2032</v>
      </c>
      <c r="C5" s="8" t="s">
        <v>6</v>
      </c>
      <c r="D5" s="8">
        <f t="shared" si="0"/>
        <v>10</v>
      </c>
      <c r="E5" s="8">
        <f>ROUND((424-25)*400/424,0)</f>
        <v>376</v>
      </c>
      <c r="F5" s="8"/>
      <c r="G5" s="8"/>
      <c r="H5" s="8"/>
      <c r="I5" s="8"/>
      <c r="J5" s="8"/>
      <c r="K5" s="8"/>
      <c r="L5" s="8"/>
      <c r="M5" s="8"/>
      <c r="N5" s="8"/>
      <c r="O5" s="8"/>
      <c r="P5" s="8">
        <f>397-169</f>
        <v>228</v>
      </c>
      <c r="Q5" s="8"/>
      <c r="R5" s="8"/>
      <c r="S5" s="8"/>
      <c r="T5" s="8"/>
      <c r="U5" s="8">
        <f>ROUND((824-43)*400/824,0)</f>
        <v>379</v>
      </c>
      <c r="V5" s="8"/>
      <c r="W5" s="8"/>
      <c r="X5" s="8"/>
      <c r="Y5" s="8">
        <f>288-28</f>
        <v>260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>
        <f>ROUND((444-49)*400/444,0)</f>
        <v>356</v>
      </c>
      <c r="AM5" s="8">
        <f>ROUND((754-24)*400/754,0)</f>
        <v>387</v>
      </c>
      <c r="AN5" s="8"/>
      <c r="AO5" s="9"/>
      <c r="AP5" s="8"/>
      <c r="AQ5" s="8"/>
      <c r="AR5" s="8"/>
      <c r="AS5" s="8"/>
      <c r="AT5" s="8">
        <f>319-45</f>
        <v>274</v>
      </c>
      <c r="AU5" s="8"/>
      <c r="AV5" s="8"/>
      <c r="AW5" s="8">
        <f>80-6+100</f>
        <v>174</v>
      </c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>
        <f>198-18+50</f>
        <v>230</v>
      </c>
      <c r="BJ5" s="8"/>
      <c r="BK5" s="8"/>
      <c r="BL5" s="8">
        <f>256-207</f>
        <v>49</v>
      </c>
      <c r="BM5" s="8"/>
      <c r="BN5" s="8"/>
      <c r="BO5" s="8"/>
      <c r="BP5" s="8"/>
      <c r="BQ5" s="8"/>
    </row>
    <row r="6" spans="1:69" x14ac:dyDescent="0.25">
      <c r="A6" s="8">
        <v>5</v>
      </c>
      <c r="B6" s="9" cm="1">
        <f t="array" ref="B6">SUMPRODUCT((E6:BQ6)*(E6:BQ6&gt;=LARGE(E6:BQ6,6)))</f>
        <v>2025</v>
      </c>
      <c r="C6" s="8" t="s">
        <v>13</v>
      </c>
      <c r="D6" s="8">
        <f t="shared" si="0"/>
        <v>11</v>
      </c>
      <c r="E6" s="8"/>
      <c r="F6" s="8"/>
      <c r="G6" s="8"/>
      <c r="H6" s="8"/>
      <c r="I6" s="8">
        <f>261-33</f>
        <v>228</v>
      </c>
      <c r="J6" s="8"/>
      <c r="K6" s="8"/>
      <c r="L6" s="8"/>
      <c r="M6" s="8"/>
      <c r="N6" s="8"/>
      <c r="O6" s="8">
        <f>ROUND((19799-1540)*400/19799,0)</f>
        <v>369</v>
      </c>
      <c r="P6" s="8"/>
      <c r="Q6" s="8"/>
      <c r="R6" s="8"/>
      <c r="S6" s="8"/>
      <c r="T6" s="8"/>
      <c r="U6" s="8"/>
      <c r="V6" s="8"/>
      <c r="W6" s="8"/>
      <c r="X6" s="8"/>
      <c r="Y6" s="8"/>
      <c r="Z6" s="8">
        <f>ROUND((36747-9024)*400/36747,0)</f>
        <v>302</v>
      </c>
      <c r="AA6" s="8"/>
      <c r="AB6" s="8"/>
      <c r="AC6" s="8"/>
      <c r="AD6" s="8"/>
      <c r="AE6" s="8"/>
      <c r="AF6" s="8">
        <f>ROUND((618-120)*400/618,0)</f>
        <v>322</v>
      </c>
      <c r="AG6" s="8"/>
      <c r="AH6" s="8"/>
      <c r="AI6" s="8"/>
      <c r="AJ6" s="8">
        <f>258-51</f>
        <v>207</v>
      </c>
      <c r="AK6" s="8"/>
      <c r="AL6" s="8"/>
      <c r="AM6" s="8">
        <f>ROUND((754-185)*400/754,0)</f>
        <v>302</v>
      </c>
      <c r="AN6" s="8"/>
      <c r="AO6" s="9"/>
      <c r="AP6" s="8"/>
      <c r="AQ6" s="8"/>
      <c r="AR6" s="8"/>
      <c r="AS6" s="8"/>
      <c r="AT6" s="8"/>
      <c r="AU6" s="8"/>
      <c r="AV6" s="8"/>
      <c r="AW6" s="8"/>
      <c r="AX6" s="8"/>
      <c r="AY6" s="8"/>
      <c r="AZ6" s="8">
        <f>217-25</f>
        <v>192</v>
      </c>
      <c r="BA6" s="8"/>
      <c r="BB6" s="8"/>
      <c r="BC6" s="8">
        <f>281-91</f>
        <v>190</v>
      </c>
      <c r="BD6" s="8"/>
      <c r="BE6" s="8"/>
      <c r="BF6" s="8"/>
      <c r="BG6" s="8"/>
      <c r="BH6" s="8">
        <f>ROUND((1049-71)*400/1049,0)</f>
        <v>373</v>
      </c>
      <c r="BI6" s="8">
        <f>198-25+50</f>
        <v>223</v>
      </c>
      <c r="BJ6" s="8"/>
      <c r="BK6" s="8"/>
      <c r="BL6" s="8"/>
      <c r="BM6" s="8"/>
      <c r="BN6" s="8"/>
      <c r="BO6" s="8">
        <f>ROUND((1053-112)*400/1053,0)</f>
        <v>357</v>
      </c>
      <c r="BP6" s="8"/>
      <c r="BQ6" s="8"/>
    </row>
    <row r="7" spans="1:69" x14ac:dyDescent="0.25">
      <c r="A7" s="8">
        <v>6</v>
      </c>
      <c r="B7" s="9" cm="1">
        <f t="array" ref="B7">SUMPRODUCT((E7:BQ7)*(E7:BQ7&gt;=LARGE(E7:BQ7,6)))</f>
        <v>1925</v>
      </c>
      <c r="C7" s="8" t="s">
        <v>7</v>
      </c>
      <c r="D7" s="8">
        <f t="shared" si="0"/>
        <v>14</v>
      </c>
      <c r="E7" s="8">
        <f>ROUND((424-100)*400/424,0)</f>
        <v>306</v>
      </c>
      <c r="F7" s="8"/>
      <c r="G7" s="8"/>
      <c r="H7" s="8">
        <f>143-38</f>
        <v>105</v>
      </c>
      <c r="I7" s="8"/>
      <c r="J7" s="8"/>
      <c r="K7" s="8"/>
      <c r="L7" s="8"/>
      <c r="M7" s="8"/>
      <c r="N7" s="8">
        <f>194-96</f>
        <v>98</v>
      </c>
      <c r="O7" s="8"/>
      <c r="P7" s="8"/>
      <c r="Q7" s="8"/>
      <c r="R7" s="8"/>
      <c r="S7" s="8"/>
      <c r="T7" s="8">
        <f>ROUND((2054-394)*400/2054,0)</f>
        <v>323</v>
      </c>
      <c r="U7" s="8"/>
      <c r="V7" s="8"/>
      <c r="W7" s="8"/>
      <c r="X7" s="8"/>
      <c r="Y7" s="8">
        <f>288-93</f>
        <v>195</v>
      </c>
      <c r="Z7" s="8"/>
      <c r="AA7" s="8">
        <f>295-112</f>
        <v>183</v>
      </c>
      <c r="AB7" s="8"/>
      <c r="AC7" s="8"/>
      <c r="AD7" s="8"/>
      <c r="AE7" s="8"/>
      <c r="AF7" s="8">
        <f>ROUND((479-77)*400/479,0)</f>
        <v>336</v>
      </c>
      <c r="AG7" s="8"/>
      <c r="AH7" s="8"/>
      <c r="AI7" s="8"/>
      <c r="AJ7" s="8"/>
      <c r="AK7" s="8"/>
      <c r="AL7" s="8">
        <f>ROUND((444-231)*400/444,0)</f>
        <v>192</v>
      </c>
      <c r="AM7" s="8">
        <f>ROUND((754-184)*400/754,0)</f>
        <v>302</v>
      </c>
      <c r="AN7" s="8"/>
      <c r="AO7" s="9"/>
      <c r="AP7" s="8">
        <f>375-49</f>
        <v>326</v>
      </c>
      <c r="AQ7" s="8"/>
      <c r="AR7" s="8"/>
      <c r="AS7" s="8"/>
      <c r="AT7" s="8">
        <f>351-175</f>
        <v>176</v>
      </c>
      <c r="AU7" s="8"/>
      <c r="AV7" s="8"/>
      <c r="AW7" s="8"/>
      <c r="AX7" s="8"/>
      <c r="AY7" s="8"/>
      <c r="AZ7" s="8"/>
      <c r="BA7" s="8"/>
      <c r="BB7" s="8">
        <f>53-12</f>
        <v>41</v>
      </c>
      <c r="BC7" s="8"/>
      <c r="BD7" s="8"/>
      <c r="BE7" s="8">
        <f>ROUND((483-82)*400/483,0)</f>
        <v>332</v>
      </c>
      <c r="BF7" s="8"/>
      <c r="BG7" s="8"/>
      <c r="BH7" s="8"/>
      <c r="BI7" s="8"/>
      <c r="BJ7" s="8"/>
      <c r="BK7" s="8"/>
      <c r="BL7" s="8"/>
      <c r="BM7" s="8"/>
      <c r="BN7" s="8">
        <f>147-36</f>
        <v>111</v>
      </c>
      <c r="BO7" s="8"/>
      <c r="BP7" s="8"/>
      <c r="BQ7" s="8"/>
    </row>
    <row r="8" spans="1:69" x14ac:dyDescent="0.25">
      <c r="A8" s="8">
        <v>7</v>
      </c>
      <c r="B8" s="9">
        <f>SUM((E8:BQ8))</f>
        <v>1792</v>
      </c>
      <c r="C8" s="8" t="s">
        <v>36</v>
      </c>
      <c r="D8" s="8">
        <f t="shared" si="0"/>
        <v>5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>
        <f>ROUND((2451-62)*400/2451,0)</f>
        <v>390</v>
      </c>
      <c r="T8" s="8"/>
      <c r="U8" s="8">
        <f>ROUND((1350-31)*400/1350,0)+50</f>
        <v>441</v>
      </c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>
        <f>ROUND((754-21)*400/754,0)+100</f>
        <v>489</v>
      </c>
      <c r="AN8" s="8"/>
      <c r="AO8" s="9"/>
      <c r="AP8" s="8"/>
      <c r="AQ8" s="8"/>
      <c r="AR8" s="8"/>
      <c r="AS8" s="8"/>
      <c r="AT8" s="8">
        <f>351-74</f>
        <v>277</v>
      </c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>
        <f>113-18+100</f>
        <v>195</v>
      </c>
      <c r="BJ8" s="8"/>
      <c r="BK8" s="8"/>
      <c r="BL8" s="8"/>
      <c r="BM8" s="8"/>
      <c r="BN8" s="8"/>
      <c r="BO8" s="8"/>
      <c r="BP8" s="8"/>
      <c r="BQ8" s="8"/>
    </row>
    <row r="9" spans="1:69" x14ac:dyDescent="0.25">
      <c r="A9" s="8">
        <v>8</v>
      </c>
      <c r="B9" s="9" cm="1">
        <f t="array" ref="B9">SUMPRODUCT((E9:BQ9)*(E9:BQ9&gt;=LARGE(E9:BQ9,6)))</f>
        <v>1630</v>
      </c>
      <c r="C9" s="8" t="s">
        <v>15</v>
      </c>
      <c r="D9" s="8">
        <f t="shared" si="0"/>
        <v>7</v>
      </c>
      <c r="E9" s="8"/>
      <c r="F9" s="8"/>
      <c r="G9" s="8"/>
      <c r="H9" s="8"/>
      <c r="I9" s="8">
        <f>234-61+100</f>
        <v>273</v>
      </c>
      <c r="J9" s="8"/>
      <c r="K9" s="8"/>
      <c r="L9" s="8"/>
      <c r="M9" s="8"/>
      <c r="N9" s="8">
        <f>211-48+50</f>
        <v>213</v>
      </c>
      <c r="O9" s="8"/>
      <c r="P9" s="8"/>
      <c r="Q9" s="8"/>
      <c r="R9" s="8"/>
      <c r="S9" s="8"/>
      <c r="T9" s="8"/>
      <c r="U9" s="8"/>
      <c r="V9" s="8"/>
      <c r="W9" s="8"/>
      <c r="X9" s="8">
        <f>275-42+50</f>
        <v>283</v>
      </c>
      <c r="Y9" s="8"/>
      <c r="Z9" s="8"/>
      <c r="AA9" s="8"/>
      <c r="AB9" s="8"/>
      <c r="AC9" s="8"/>
      <c r="AD9" s="8"/>
      <c r="AE9" s="8"/>
      <c r="AF9" s="8">
        <f>ROUND((479-66)*400/479,0)+100</f>
        <v>445</v>
      </c>
      <c r="AG9" s="8"/>
      <c r="AH9" s="8"/>
      <c r="AI9" s="8"/>
      <c r="AJ9" s="8"/>
      <c r="AK9" s="8"/>
      <c r="AL9" s="8"/>
      <c r="AM9" s="8">
        <f>ROUND((754-324)*400/754,0)</f>
        <v>228</v>
      </c>
      <c r="AN9" s="8"/>
      <c r="AO9" s="9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>
        <f>53-26</f>
        <v>27</v>
      </c>
      <c r="BC9" s="8"/>
      <c r="BD9" s="8"/>
      <c r="BE9" s="8"/>
      <c r="BF9" s="8"/>
      <c r="BG9" s="8"/>
      <c r="BH9" s="8"/>
      <c r="BI9" s="8">
        <f>113-25+100</f>
        <v>188</v>
      </c>
      <c r="BJ9" s="8"/>
      <c r="BK9" s="8"/>
      <c r="BL9" s="8"/>
      <c r="BM9" s="8"/>
      <c r="BN9" s="8"/>
      <c r="BO9" s="8"/>
      <c r="BP9" s="8"/>
      <c r="BQ9" s="8"/>
    </row>
    <row r="10" spans="1:69" ht="14.25" customHeight="1" x14ac:dyDescent="0.25">
      <c r="A10" s="8">
        <v>9</v>
      </c>
      <c r="B10" s="9" cm="1">
        <f t="array" ref="B10">SUMPRODUCT((E10:BQ10)*(E10:BQ10&gt;=LARGE(E10:BQ10,6)))</f>
        <v>1578</v>
      </c>
      <c r="C10" s="8" t="s">
        <v>30</v>
      </c>
      <c r="D10" s="8">
        <f t="shared" si="0"/>
        <v>9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>
        <f>ROUND((19799-3860)*400/19799,0)</f>
        <v>322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>
        <f>ROUND((36747-17767)*400/36747,0)</f>
        <v>207</v>
      </c>
      <c r="AA10" s="8"/>
      <c r="AB10" s="8"/>
      <c r="AC10" s="8"/>
      <c r="AD10" s="8"/>
      <c r="AE10" s="8"/>
      <c r="AF10" s="8">
        <f>ROUND((618-260)*400/618,0)</f>
        <v>232</v>
      </c>
      <c r="AG10" s="8"/>
      <c r="AH10" s="8">
        <f>308-96</f>
        <v>212</v>
      </c>
      <c r="AI10" s="8">
        <f>ROUND((590-283)*400/590,0)</f>
        <v>208</v>
      </c>
      <c r="AJ10" s="8"/>
      <c r="AK10" s="8"/>
      <c r="AL10" s="8"/>
      <c r="AM10" s="8"/>
      <c r="AN10" s="8">
        <f>98-16</f>
        <v>82</v>
      </c>
      <c r="AO10" s="9">
        <f>ROUND((2505-646)*400/2505,0)</f>
        <v>297</v>
      </c>
      <c r="AP10" s="8"/>
      <c r="AQ10" s="8"/>
      <c r="AR10" s="8"/>
      <c r="AS10" s="8"/>
      <c r="AT10" s="8"/>
      <c r="AU10" s="8">
        <f>ROUND((55494-12908)*400/55494,0)</f>
        <v>307</v>
      </c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>
        <f>283-117</f>
        <v>166</v>
      </c>
      <c r="BQ10" s="8"/>
    </row>
    <row r="11" spans="1:69" x14ac:dyDescent="0.25">
      <c r="A11" s="8">
        <v>10</v>
      </c>
      <c r="B11" s="9" cm="1">
        <f t="array" ref="B11">SUMPRODUCT((E11:BQ11)*(E11:BQ11&gt;=LARGE(E11:BQ11,6)))</f>
        <v>1389</v>
      </c>
      <c r="C11" s="8" t="s">
        <v>37</v>
      </c>
      <c r="D11" s="8">
        <f t="shared" si="0"/>
        <v>7</v>
      </c>
      <c r="E11" s="8"/>
      <c r="F11" s="8"/>
      <c r="G11" s="8"/>
      <c r="H11" s="8"/>
      <c r="I11" s="9"/>
      <c r="J11" s="9"/>
      <c r="K11" s="8"/>
      <c r="L11" s="8"/>
      <c r="M11" s="8"/>
      <c r="N11" s="8"/>
      <c r="O11" s="8"/>
      <c r="P11" s="8"/>
      <c r="Q11" s="8"/>
      <c r="R11" s="8">
        <f>214-62</f>
        <v>152</v>
      </c>
      <c r="S11" s="8"/>
      <c r="T11" s="8"/>
      <c r="U11" s="8">
        <f>ROUND((824-228)*400/824,0)</f>
        <v>289</v>
      </c>
      <c r="V11" s="8"/>
      <c r="W11" s="8"/>
      <c r="X11" s="8"/>
      <c r="Y11" s="8"/>
      <c r="Z11" s="8">
        <f>ROUND((36747-14976)*400/36747,0)</f>
        <v>237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>
        <f>ROUND((754-195)*400/754,0)</f>
        <v>297</v>
      </c>
      <c r="AN11" s="8">
        <f>98-16</f>
        <v>82</v>
      </c>
      <c r="AO11" s="9"/>
      <c r="AP11" s="8"/>
      <c r="AQ11" s="8"/>
      <c r="AR11" s="8"/>
      <c r="AS11" s="8"/>
      <c r="AT11" s="8"/>
      <c r="AU11" s="8">
        <f>ROUND((55494-9480)*400/55494,0)</f>
        <v>332</v>
      </c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>
        <f>109-28</f>
        <v>81</v>
      </c>
      <c r="BH11" s="8"/>
      <c r="BI11" s="8"/>
      <c r="BJ11" s="8"/>
      <c r="BK11" s="8"/>
      <c r="BL11" s="8"/>
      <c r="BM11" s="8"/>
      <c r="BN11" s="8"/>
      <c r="BO11" s="8"/>
      <c r="BP11" s="8"/>
      <c r="BQ11" s="8"/>
    </row>
    <row r="12" spans="1:69" x14ac:dyDescent="0.25">
      <c r="A12" s="8">
        <v>11</v>
      </c>
      <c r="B12" s="9" cm="1">
        <f t="array" ref="B12">SUMPRODUCT((E12:BQ12)*(E12:BQ12&gt;=LARGE(E12:BQ12,6)))</f>
        <v>1297</v>
      </c>
      <c r="C12" s="8" t="s">
        <v>43</v>
      </c>
      <c r="D12" s="8">
        <f t="shared" si="0"/>
        <v>6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>
        <f>ROUND((824-384)*400/824,0)</f>
        <v>214</v>
      </c>
      <c r="V12" s="8"/>
      <c r="W12" s="8"/>
      <c r="X12" s="8"/>
      <c r="Y12" s="8">
        <f>388-82+50</f>
        <v>356</v>
      </c>
      <c r="Z12" s="8"/>
      <c r="AA12" s="8"/>
      <c r="AB12" s="8"/>
      <c r="AC12" s="8"/>
      <c r="AD12" s="8"/>
      <c r="AE12" s="8"/>
      <c r="AF12" s="8">
        <f>ROUND((618-315)*400/618,0)</f>
        <v>196</v>
      </c>
      <c r="AG12" s="8"/>
      <c r="AH12" s="8"/>
      <c r="AI12" s="8"/>
      <c r="AJ12" s="8"/>
      <c r="AK12" s="8"/>
      <c r="AL12" s="8"/>
      <c r="AM12" s="8">
        <f>ROUND((754-352)*400/754,0)</f>
        <v>213</v>
      </c>
      <c r="AN12" s="8"/>
      <c r="AO12" s="9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>
        <f>ROUND((530-248)*400/530,0)</f>
        <v>213</v>
      </c>
      <c r="BF12" s="8"/>
      <c r="BG12" s="8"/>
      <c r="BH12" s="8"/>
      <c r="BI12" s="8"/>
      <c r="BJ12" s="8"/>
      <c r="BK12" s="8"/>
      <c r="BL12" s="8"/>
      <c r="BM12" s="8">
        <f>24-19+100</f>
        <v>105</v>
      </c>
      <c r="BN12" s="8"/>
      <c r="BO12" s="8"/>
      <c r="BP12" s="8"/>
      <c r="BQ12" s="8"/>
    </row>
    <row r="13" spans="1:69" x14ac:dyDescent="0.25">
      <c r="A13" s="8">
        <v>12</v>
      </c>
      <c r="B13" s="9">
        <f>SUM((E13:BQ13))</f>
        <v>1287</v>
      </c>
      <c r="C13" s="8" t="s">
        <v>49</v>
      </c>
      <c r="D13" s="8">
        <f t="shared" si="0"/>
        <v>5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>
        <f>ROUND((1284-187)*400/1284,0)</f>
        <v>342</v>
      </c>
      <c r="W13" s="8"/>
      <c r="X13" s="8"/>
      <c r="Y13" s="8"/>
      <c r="Z13" s="8"/>
      <c r="AA13" s="8">
        <f>ROUND((424-66)*400/424,0)</f>
        <v>338</v>
      </c>
      <c r="AB13" s="8"/>
      <c r="AC13" s="8"/>
      <c r="AD13" s="8"/>
      <c r="AE13" s="8"/>
      <c r="AF13" s="8"/>
      <c r="AG13" s="8"/>
      <c r="AH13" s="8"/>
      <c r="AI13" s="8">
        <f>245-65</f>
        <v>180</v>
      </c>
      <c r="AJ13" s="8"/>
      <c r="AK13" s="8"/>
      <c r="AL13" s="8"/>
      <c r="AM13" s="8"/>
      <c r="AN13" s="8"/>
      <c r="AO13" s="9"/>
      <c r="AP13" s="8"/>
      <c r="AQ13" s="8"/>
      <c r="AR13" s="8">
        <f>ROUND((2576-398)*400/2576,0)</f>
        <v>338</v>
      </c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>
        <f>113-24</f>
        <v>89</v>
      </c>
      <c r="BJ13" s="8"/>
      <c r="BK13" s="8"/>
      <c r="BL13" s="8"/>
      <c r="BM13" s="8"/>
      <c r="BN13" s="8"/>
      <c r="BO13" s="8"/>
      <c r="BP13" s="8"/>
      <c r="BQ13" s="8"/>
    </row>
    <row r="14" spans="1:69" x14ac:dyDescent="0.25">
      <c r="A14" s="8">
        <v>13</v>
      </c>
      <c r="B14" s="9" cm="1">
        <f t="array" ref="B14">SUMPRODUCT((E14:BQ14)*(E14:BQ14&gt;=LARGE(E14:BQ14,6)))</f>
        <v>1181</v>
      </c>
      <c r="C14" s="8" t="s">
        <v>14</v>
      </c>
      <c r="D14" s="8">
        <f t="shared" si="0"/>
        <v>8</v>
      </c>
      <c r="E14" s="8"/>
      <c r="F14" s="8"/>
      <c r="G14" s="8"/>
      <c r="H14" s="8"/>
      <c r="I14" s="8">
        <f>357-226</f>
        <v>131</v>
      </c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>
        <f>ROUND((824-438)*400/824,0)</f>
        <v>187</v>
      </c>
      <c r="V14" s="8"/>
      <c r="W14" s="8"/>
      <c r="X14" s="8"/>
      <c r="Y14" s="8"/>
      <c r="Z14" s="8">
        <f>ROUND((36747-18168)*400/36747,0)</f>
        <v>202</v>
      </c>
      <c r="AA14" s="8"/>
      <c r="AB14" s="8"/>
      <c r="AC14" s="8"/>
      <c r="AD14" s="8"/>
      <c r="AE14" s="8"/>
      <c r="AF14" s="8">
        <f>ROUND((618-368)*400/618,0)</f>
        <v>162</v>
      </c>
      <c r="AG14" s="8"/>
      <c r="AH14" s="8"/>
      <c r="AI14" s="8"/>
      <c r="AJ14" s="8"/>
      <c r="AK14" s="8"/>
      <c r="AL14" s="8"/>
      <c r="AM14" s="8">
        <f>ROUND((754-481)*400/754,0)</f>
        <v>145</v>
      </c>
      <c r="AN14" s="8"/>
      <c r="AO14" s="9"/>
      <c r="AP14" s="8"/>
      <c r="AQ14" s="8"/>
      <c r="AR14" s="8">
        <f>ROUND((2576-1345)*400/2576,0)</f>
        <v>191</v>
      </c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>
        <f>ROUND((1130-299)*400/1130,0)</f>
        <v>294</v>
      </c>
      <c r="BK14" s="8"/>
      <c r="BL14" s="8"/>
      <c r="BM14" s="8">
        <f>24-24+50</f>
        <v>50</v>
      </c>
      <c r="BN14" s="8"/>
      <c r="BO14" s="8"/>
      <c r="BP14" s="8"/>
      <c r="BQ14" s="8"/>
    </row>
    <row r="15" spans="1:69" x14ac:dyDescent="0.25">
      <c r="A15" s="8">
        <v>14</v>
      </c>
      <c r="B15" s="9">
        <f t="shared" ref="B15:B26" si="1">SUM((E15:BQ15))</f>
        <v>1176</v>
      </c>
      <c r="C15" s="8" t="s">
        <v>80</v>
      </c>
      <c r="D15" s="8">
        <f t="shared" si="0"/>
        <v>4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9"/>
      <c r="AP15" s="8"/>
      <c r="AQ15" s="8"/>
      <c r="AR15" s="8"/>
      <c r="AS15" s="8"/>
      <c r="AT15" s="8"/>
      <c r="AU15" s="8">
        <f>ROUND((55494-738)*400/55494,0)</f>
        <v>395</v>
      </c>
      <c r="AV15" s="8"/>
      <c r="AW15" s="8">
        <f>168-6+100</f>
        <v>262</v>
      </c>
      <c r="AX15" s="8"/>
      <c r="AY15" s="8"/>
      <c r="AZ15" s="8"/>
      <c r="BA15" s="8"/>
      <c r="BB15" s="8"/>
      <c r="BC15" s="8"/>
      <c r="BD15" s="8"/>
      <c r="BE15" s="8"/>
      <c r="BF15" s="8"/>
      <c r="BG15" s="8">
        <f>109-5+100</f>
        <v>204</v>
      </c>
      <c r="BH15" s="8"/>
      <c r="BI15" s="8"/>
      <c r="BJ15" s="8"/>
      <c r="BK15" s="8">
        <f>228-13+100</f>
        <v>315</v>
      </c>
      <c r="BL15" s="8"/>
      <c r="BM15" s="8"/>
      <c r="BN15" s="8"/>
      <c r="BO15" s="8"/>
      <c r="BP15" s="8"/>
      <c r="BQ15" s="8"/>
    </row>
    <row r="16" spans="1:69" x14ac:dyDescent="0.25">
      <c r="A16" s="8">
        <v>15</v>
      </c>
      <c r="B16" s="9">
        <f t="shared" si="1"/>
        <v>1097</v>
      </c>
      <c r="C16" s="8" t="s">
        <v>64</v>
      </c>
      <c r="D16" s="8">
        <f t="shared" si="0"/>
        <v>4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>
        <f>ROUND((590-24)*400/590,0)+100</f>
        <v>484</v>
      </c>
      <c r="AJ16" s="8"/>
      <c r="AK16" s="8"/>
      <c r="AL16" s="8"/>
      <c r="AM16" s="8"/>
      <c r="AN16" s="8">
        <f>98-16</f>
        <v>82</v>
      </c>
      <c r="AO16" s="9"/>
      <c r="AP16" s="8"/>
      <c r="AQ16" s="8"/>
      <c r="AR16" s="8"/>
      <c r="AS16" s="8">
        <f>128-3+150</f>
        <v>275</v>
      </c>
      <c r="AT16" s="8"/>
      <c r="AU16" s="8"/>
      <c r="AV16" s="8"/>
      <c r="AW16" s="8"/>
      <c r="AX16" s="8">
        <f>160-4+100</f>
        <v>256</v>
      </c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</row>
    <row r="17" spans="1:69" x14ac:dyDescent="0.25">
      <c r="A17" s="8">
        <v>16</v>
      </c>
      <c r="B17" s="9">
        <f t="shared" si="1"/>
        <v>1029</v>
      </c>
      <c r="C17" s="8" t="s">
        <v>5</v>
      </c>
      <c r="D17" s="8">
        <f t="shared" si="0"/>
        <v>5</v>
      </c>
      <c r="E17" s="8">
        <f>ROUND((424-48)*400/424,0)</f>
        <v>355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>
        <f>ROUND((1284-213)*400/1284,0)</f>
        <v>334</v>
      </c>
      <c r="W17" s="8"/>
      <c r="X17" s="8"/>
      <c r="Y17" s="8">
        <f>288-151</f>
        <v>137</v>
      </c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>
        <f>ROUND((754-525)*400/754,0)</f>
        <v>121</v>
      </c>
      <c r="AN17" s="8">
        <f>98-16</f>
        <v>82</v>
      </c>
      <c r="AO17" s="9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</row>
    <row r="18" spans="1:69" x14ac:dyDescent="0.25">
      <c r="A18" s="8">
        <v>17</v>
      </c>
      <c r="B18" s="9">
        <f t="shared" si="1"/>
        <v>799</v>
      </c>
      <c r="C18" s="8" t="s">
        <v>47</v>
      </c>
      <c r="D18" s="8">
        <f t="shared" si="0"/>
        <v>4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>
        <f>ROUND((1870-797)*400/1870,0)</f>
        <v>230</v>
      </c>
      <c r="X18" s="8"/>
      <c r="Y18" s="8"/>
      <c r="Z18" s="8"/>
      <c r="AA18" s="8"/>
      <c r="AB18" s="8">
        <f>ROUND((1469-998)*400/1469,0)</f>
        <v>128</v>
      </c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>
        <f>ROUND((829-286)*400/829,0)</f>
        <v>262</v>
      </c>
      <c r="AN18" s="8"/>
      <c r="AO18" s="9"/>
      <c r="AP18" s="8"/>
      <c r="AQ18" s="8">
        <f>ROUND((658-364)*400/658,0)</f>
        <v>179</v>
      </c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</row>
    <row r="19" spans="1:69" x14ac:dyDescent="0.25">
      <c r="A19" s="8">
        <v>18</v>
      </c>
      <c r="B19" s="9">
        <f t="shared" si="1"/>
        <v>689</v>
      </c>
      <c r="C19" s="8" t="s">
        <v>31</v>
      </c>
      <c r="D19" s="8">
        <f t="shared" si="0"/>
        <v>4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>
        <f>ROUND((19799-9414)*400/19799,0)</f>
        <v>210</v>
      </c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>
        <f>338-206</f>
        <v>132</v>
      </c>
      <c r="AH19" s="8"/>
      <c r="AI19" s="8"/>
      <c r="AJ19" s="8"/>
      <c r="AK19" s="8">
        <f>352-194</f>
        <v>158</v>
      </c>
      <c r="AL19" s="8"/>
      <c r="AM19" s="8"/>
      <c r="AN19" s="8"/>
      <c r="AO19" s="9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>
        <f>331-142</f>
        <v>189</v>
      </c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</row>
    <row r="20" spans="1:69" x14ac:dyDescent="0.25">
      <c r="A20" s="8">
        <v>19</v>
      </c>
      <c r="B20" s="9">
        <f t="shared" si="1"/>
        <v>504</v>
      </c>
      <c r="C20" s="8" t="s">
        <v>26</v>
      </c>
      <c r="D20" s="8">
        <f t="shared" si="0"/>
        <v>5</v>
      </c>
      <c r="E20" s="8"/>
      <c r="F20" s="8"/>
      <c r="G20" s="8"/>
      <c r="H20" s="8"/>
      <c r="I20" s="8"/>
      <c r="J20" s="8"/>
      <c r="K20" s="8"/>
      <c r="L20" s="8"/>
      <c r="M20" s="8">
        <f>360-191</f>
        <v>169</v>
      </c>
      <c r="N20" s="8"/>
      <c r="O20" s="8">
        <f>ROUND((19799-13672)*400/19799,0)</f>
        <v>124</v>
      </c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>
        <f>98-44</f>
        <v>54</v>
      </c>
      <c r="AO20" s="9"/>
      <c r="AP20" s="8"/>
      <c r="AQ20" s="8"/>
      <c r="AR20" s="8"/>
      <c r="AS20" s="8"/>
      <c r="AT20" s="8"/>
      <c r="AU20" s="8"/>
      <c r="AV20" s="8">
        <f>175-165</f>
        <v>10</v>
      </c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>
        <f>ROUND((1049-664)*400/1049,0)</f>
        <v>147</v>
      </c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8">
        <v>20</v>
      </c>
      <c r="B21" s="9">
        <f t="shared" si="1"/>
        <v>491</v>
      </c>
      <c r="C21" s="8" t="s">
        <v>16</v>
      </c>
      <c r="D21" s="8">
        <f t="shared" si="0"/>
        <v>3</v>
      </c>
      <c r="E21" s="8"/>
      <c r="F21" s="8"/>
      <c r="G21" s="8">
        <f>116-29</f>
        <v>87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>
        <f>ROUND((754-102)*400/754,0)</f>
        <v>346</v>
      </c>
      <c r="AN21" s="8"/>
      <c r="AO21" s="9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>
        <f>144-86</f>
        <v>58</v>
      </c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8">
        <v>21</v>
      </c>
      <c r="B22" s="9">
        <f t="shared" si="1"/>
        <v>323</v>
      </c>
      <c r="C22" s="8" t="s">
        <v>81</v>
      </c>
      <c r="D22" s="8">
        <f t="shared" si="0"/>
        <v>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9"/>
      <c r="AP22" s="8"/>
      <c r="AQ22" s="8"/>
      <c r="AR22" s="8"/>
      <c r="AS22" s="8"/>
      <c r="AT22" s="8"/>
      <c r="AU22" s="8">
        <f>ROUND((55494-10702)*400/55494,0)</f>
        <v>323</v>
      </c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A23" s="8">
        <v>22</v>
      </c>
      <c r="B23" s="9">
        <f t="shared" si="1"/>
        <v>219</v>
      </c>
      <c r="C23" s="8" t="s">
        <v>48</v>
      </c>
      <c r="D23" s="8">
        <f t="shared" si="0"/>
        <v>1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>
        <f>ROUND((1870-848)*400/1870,0)</f>
        <v>219</v>
      </c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9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</row>
    <row r="24" spans="1:69" x14ac:dyDescent="0.25">
      <c r="A24" s="8">
        <v>23</v>
      </c>
      <c r="B24" s="9">
        <f t="shared" si="1"/>
        <v>171</v>
      </c>
      <c r="C24" s="8" t="s">
        <v>17</v>
      </c>
      <c r="D24" s="8">
        <f t="shared" si="0"/>
        <v>2</v>
      </c>
      <c r="E24" s="8"/>
      <c r="F24" s="8"/>
      <c r="G24" s="8"/>
      <c r="H24" s="8"/>
      <c r="I24" s="8"/>
      <c r="J24" s="8">
        <f>22-16+100</f>
        <v>106</v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>
        <f>ROUND((618-517)*400/618,0)</f>
        <v>65</v>
      </c>
      <c r="AG24" s="8"/>
      <c r="AH24" s="8"/>
      <c r="AI24" s="8"/>
      <c r="AJ24" s="8"/>
      <c r="AK24" s="8"/>
      <c r="AL24" s="8"/>
      <c r="AM24" s="8"/>
      <c r="AN24" s="8"/>
      <c r="AO24" s="9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</row>
    <row r="25" spans="1:69" x14ac:dyDescent="0.25">
      <c r="A25" s="8">
        <v>24</v>
      </c>
      <c r="B25" s="9">
        <f t="shared" si="1"/>
        <v>54</v>
      </c>
      <c r="C25" s="8" t="s">
        <v>69</v>
      </c>
      <c r="D25" s="8">
        <f t="shared" si="0"/>
        <v>1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>
        <f>98-44</f>
        <v>54</v>
      </c>
      <c r="AO25" s="9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</row>
    <row r="26" spans="1:69" x14ac:dyDescent="0.25">
      <c r="A26" s="8">
        <v>25</v>
      </c>
      <c r="B26" s="9">
        <f t="shared" si="1"/>
        <v>11</v>
      </c>
      <c r="C26" s="8" t="s">
        <v>56</v>
      </c>
      <c r="D26" s="8">
        <f t="shared" si="0"/>
        <v>1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>
        <f>ROUND((561-546)*400/561,0)</f>
        <v>11</v>
      </c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9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</row>
    <row r="28" spans="1:69" x14ac:dyDescent="0.25">
      <c r="A28" s="6"/>
    </row>
    <row r="29" spans="1:69" x14ac:dyDescent="0.25">
      <c r="A29" s="7"/>
    </row>
    <row r="31" spans="1:69" x14ac:dyDescent="0.25">
      <c r="D31" cm="1">
        <f t="array" ref="D31">SUMPRODUCT((E2:BQ2)*(E2:BQ2&gt;=LARGE(E2:BQ2,6)))</f>
        <v>2650</v>
      </c>
    </row>
    <row r="32" spans="1:69" x14ac:dyDescent="0.25">
      <c r="D32">
        <f>ROUND((565-83)*400/565,0)</f>
        <v>341</v>
      </c>
    </row>
  </sheetData>
  <autoFilter ref="A1:D32" xr:uid="{00000000-0001-0000-0000-000000000000}"/>
  <sortState xmlns:xlrd2="http://schemas.microsoft.com/office/spreadsheetml/2017/richdata2" ref="A2:BQ32">
    <sortCondition descending="1" ref="B2:B32"/>
  </sortState>
  <pageMargins left="0.7" right="0.7" top="0.75" bottom="0.75" header="0.3" footer="0.3"/>
  <pageSetup paperSize="9" orientation="portrait" r:id="rId1"/>
  <headerFooter>
    <oddFooter>&amp;L&amp;1#&amp;"Tahoma"&amp;9&amp;KCF022BC2 – Usage restreint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899E1-AB98-496F-ACF8-2E30AAA8CE3F}">
  <dimension ref="A1:AU29"/>
  <sheetViews>
    <sheetView tabSelected="1" workbookViewId="0">
      <pane xSplit="4" ySplit="1" topLeftCell="Z2" activePane="bottomRight" state="frozenSplit"/>
      <selection pane="topRight" activeCell="F1" sqref="F1"/>
      <selection pane="bottomLeft" activeCell="A2" sqref="A2"/>
      <selection pane="bottomRight" activeCell="AI3" sqref="AI3"/>
    </sheetView>
  </sheetViews>
  <sheetFormatPr baseColWidth="10" defaultRowHeight="15" x14ac:dyDescent="0.25"/>
  <cols>
    <col min="1" max="1" width="8" bestFit="1" customWidth="1"/>
    <col min="2" max="2" width="10.5703125" bestFit="1" customWidth="1"/>
    <col min="3" max="3" width="28.42578125" bestFit="1" customWidth="1"/>
    <col min="4" max="4" width="17.7109375" bestFit="1" customWidth="1"/>
    <col min="5" max="5" width="10.7109375" bestFit="1" customWidth="1"/>
    <col min="6" max="6" width="16.7109375" bestFit="1" customWidth="1"/>
    <col min="7" max="7" width="10.28515625" bestFit="1" customWidth="1"/>
    <col min="8" max="8" width="13.5703125" bestFit="1" customWidth="1"/>
    <col min="9" max="9" width="11.42578125" bestFit="1" customWidth="1"/>
    <col min="10" max="10" width="14.28515625" bestFit="1" customWidth="1"/>
    <col min="11" max="11" width="14.7109375" bestFit="1" customWidth="1"/>
    <col min="12" max="12" width="13.140625" bestFit="1" customWidth="1"/>
    <col min="13" max="13" width="13.42578125" bestFit="1" customWidth="1"/>
    <col min="14" max="14" width="14.85546875" bestFit="1" customWidth="1"/>
    <col min="15" max="15" width="10.28515625" bestFit="1" customWidth="1"/>
    <col min="16" max="16" width="13.5703125" bestFit="1" customWidth="1"/>
    <col min="17" max="17" width="15" bestFit="1" customWidth="1"/>
    <col min="18" max="18" width="9.140625" bestFit="1" customWidth="1"/>
    <col min="19" max="19" width="12.28515625" bestFit="1" customWidth="1"/>
    <col min="20" max="20" width="12.42578125" bestFit="1" customWidth="1"/>
    <col min="21" max="21" width="14.85546875" bestFit="1" customWidth="1"/>
    <col min="22" max="22" width="15" bestFit="1" customWidth="1"/>
    <col min="23" max="23" width="12.85546875" bestFit="1" customWidth="1"/>
    <col min="24" max="24" width="11.140625" bestFit="1" customWidth="1"/>
    <col min="25" max="25" width="14.140625" bestFit="1" customWidth="1"/>
    <col min="26" max="26" width="11.140625" bestFit="1" customWidth="1"/>
    <col min="27" max="27" width="10.140625" bestFit="1" customWidth="1"/>
    <col min="28" max="28" width="10" bestFit="1" customWidth="1"/>
    <col min="29" max="29" width="9.7109375" bestFit="1" customWidth="1"/>
    <col min="30" max="30" width="11.140625" bestFit="1" customWidth="1"/>
    <col min="31" max="31" width="9.7109375" bestFit="1" customWidth="1"/>
    <col min="32" max="32" width="10.42578125" customWidth="1"/>
    <col min="33" max="33" width="10.140625" customWidth="1"/>
    <col min="34" max="34" width="11.85546875" bestFit="1" customWidth="1"/>
    <col min="35" max="36" width="10.5703125" bestFit="1" customWidth="1"/>
    <col min="37" max="37" width="10.7109375" bestFit="1" customWidth="1"/>
    <col min="38" max="38" width="13.42578125" bestFit="1" customWidth="1"/>
    <col min="39" max="39" width="8.28515625" bestFit="1" customWidth="1"/>
    <col min="40" max="40" width="11.85546875" bestFit="1" customWidth="1"/>
    <col min="41" max="41" width="10.5703125" bestFit="1" customWidth="1"/>
    <col min="42" max="42" width="9.28515625" bestFit="1" customWidth="1"/>
    <col min="43" max="43" width="9.5703125" bestFit="1" customWidth="1"/>
    <col min="44" max="44" width="9.85546875" bestFit="1" customWidth="1"/>
    <col min="45" max="45" width="8.28515625" bestFit="1" customWidth="1"/>
    <col min="46" max="46" width="19" bestFit="1" customWidth="1"/>
    <col min="47" max="47" width="10.140625" bestFit="1" customWidth="1"/>
  </cols>
  <sheetData>
    <row r="1" spans="1:47" ht="45" x14ac:dyDescent="0.25">
      <c r="A1" s="11" t="s">
        <v>0</v>
      </c>
      <c r="B1" s="11" t="s">
        <v>1</v>
      </c>
      <c r="C1" s="11" t="s">
        <v>2</v>
      </c>
      <c r="D1" s="11" t="s">
        <v>3</v>
      </c>
      <c r="E1" s="1" t="s">
        <v>22</v>
      </c>
      <c r="F1" s="1" t="s">
        <v>21</v>
      </c>
      <c r="G1" s="1" t="s">
        <v>29</v>
      </c>
      <c r="H1" s="2" t="s">
        <v>35</v>
      </c>
      <c r="I1" s="1" t="s">
        <v>34</v>
      </c>
      <c r="J1" s="3" t="s">
        <v>33</v>
      </c>
      <c r="K1" s="5" t="s">
        <v>42</v>
      </c>
      <c r="L1" s="5" t="s">
        <v>50</v>
      </c>
      <c r="M1" s="5" t="s">
        <v>51</v>
      </c>
      <c r="N1" s="5" t="s">
        <v>55</v>
      </c>
      <c r="O1" s="3" t="s">
        <v>58</v>
      </c>
      <c r="P1" s="3" t="s">
        <v>59</v>
      </c>
      <c r="Q1" s="5" t="s">
        <v>60</v>
      </c>
      <c r="R1" s="5" t="s">
        <v>67</v>
      </c>
      <c r="S1" s="5" t="s">
        <v>68</v>
      </c>
      <c r="T1" s="5" t="s">
        <v>73</v>
      </c>
      <c r="U1" s="5" t="s">
        <v>72</v>
      </c>
      <c r="V1" s="5" t="s">
        <v>76</v>
      </c>
      <c r="W1" s="5" t="s">
        <v>82</v>
      </c>
      <c r="X1" s="5" t="s">
        <v>83</v>
      </c>
      <c r="Y1" s="5" t="s">
        <v>88</v>
      </c>
      <c r="Z1" s="5" t="s">
        <v>90</v>
      </c>
      <c r="AA1" s="5" t="s">
        <v>94</v>
      </c>
      <c r="AB1" s="5" t="s">
        <v>96</v>
      </c>
      <c r="AC1" s="5" t="s">
        <v>97</v>
      </c>
      <c r="AD1" s="5" t="s">
        <v>99</v>
      </c>
      <c r="AE1" s="5" t="s">
        <v>102</v>
      </c>
      <c r="AF1" s="5" t="s">
        <v>103</v>
      </c>
      <c r="AG1" s="5" t="s">
        <v>104</v>
      </c>
      <c r="AH1" s="5" t="s">
        <v>106</v>
      </c>
      <c r="AI1" s="5" t="s">
        <v>111</v>
      </c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x14ac:dyDescent="0.25">
      <c r="A2" s="8">
        <v>1</v>
      </c>
      <c r="B2" s="9" cm="1">
        <f t="array" ref="B2">SUMPRODUCT((E2:BQ2)*(E2:BQ2&gt;=LARGE(E2:BQ2,6)))</f>
        <v>2432</v>
      </c>
      <c r="C2" s="8" t="s">
        <v>24</v>
      </c>
      <c r="D2" s="8">
        <f>IF(COUNT(E2:AU2)&gt;30,30,COUNT(E2:AU2))</f>
        <v>9</v>
      </c>
      <c r="E2" s="8"/>
      <c r="F2" s="8">
        <f>ROUND((16763-4344)*400/16763,0)</f>
        <v>296</v>
      </c>
      <c r="G2" s="8">
        <f>ROUND((19799-6879)*400/19799,0)</f>
        <v>261</v>
      </c>
      <c r="H2" s="8"/>
      <c r="I2" s="8"/>
      <c r="J2" s="8"/>
      <c r="K2" s="8"/>
      <c r="L2" s="8"/>
      <c r="M2" s="8">
        <f>ROUND((36747-14900)*400/36747,0)</f>
        <v>238</v>
      </c>
      <c r="N2" s="8"/>
      <c r="O2" s="8"/>
      <c r="P2" s="8">
        <f>ROUND((479-83)*400/479,0)+100</f>
        <v>431</v>
      </c>
      <c r="Q2" s="8">
        <f>ROUND((446-102)*400/446,0)+100</f>
        <v>409</v>
      </c>
      <c r="R2" s="8">
        <f>ROUND((754-200)*400/754,0)+100</f>
        <v>394</v>
      </c>
      <c r="S2" s="8"/>
      <c r="T2" s="8"/>
      <c r="U2" s="8"/>
      <c r="V2" s="8"/>
      <c r="W2" s="8"/>
      <c r="X2" s="8"/>
      <c r="Y2" s="8"/>
      <c r="Z2" s="8"/>
      <c r="AA2" s="8"/>
      <c r="AB2" s="8"/>
      <c r="AC2" s="8">
        <f>ROUND((530-70)*400/530,0)+100</f>
        <v>447</v>
      </c>
      <c r="AD2" s="8"/>
      <c r="AE2" s="8"/>
      <c r="AF2" s="8">
        <f>ROUND((1130-128)*400/1130,0)+100</f>
        <v>455</v>
      </c>
      <c r="AG2" s="8"/>
      <c r="AH2" s="8"/>
      <c r="AI2" s="8">
        <f>308-88+20</f>
        <v>240</v>
      </c>
      <c r="AJ2" s="8"/>
      <c r="AK2" s="8"/>
      <c r="AL2" s="8"/>
      <c r="AM2" s="9"/>
      <c r="AN2" s="8"/>
      <c r="AO2" s="8"/>
      <c r="AP2" s="8"/>
      <c r="AQ2" s="8"/>
      <c r="AR2" s="8"/>
      <c r="AS2" s="8"/>
      <c r="AT2" s="8"/>
      <c r="AU2" s="8"/>
    </row>
    <row r="3" spans="1:47" x14ac:dyDescent="0.25">
      <c r="A3" s="8">
        <v>2</v>
      </c>
      <c r="B3" s="9" cm="1">
        <f t="array" ref="B3">SUMPRODUCT((E3:BQ3)*(E3:BQ3&gt;=LARGE(E3:BQ3,6)))</f>
        <v>2343</v>
      </c>
      <c r="C3" s="8" t="s">
        <v>38</v>
      </c>
      <c r="D3" s="8">
        <f>IF(COUNT(E3:AU3)&gt;30,30,COUNT(E3:AU3))</f>
        <v>13</v>
      </c>
      <c r="E3" s="8"/>
      <c r="F3" s="8"/>
      <c r="G3" s="8"/>
      <c r="H3" s="8">
        <f>ROUND((8458-2537)*400/8458,0)</f>
        <v>280</v>
      </c>
      <c r="I3" s="8"/>
      <c r="J3" s="8"/>
      <c r="K3" s="8">
        <f>ROUND((1350-239)*400/1350,0)</f>
        <v>329</v>
      </c>
      <c r="L3" s="8">
        <f>288-112</f>
        <v>176</v>
      </c>
      <c r="M3" s="8"/>
      <c r="N3" s="8"/>
      <c r="O3" s="8">
        <f>ROUND((9935-3013)*400/9935,0)</f>
        <v>279</v>
      </c>
      <c r="P3" s="8"/>
      <c r="Q3" s="8">
        <f>ROUND((446-109)*400/446,0)</f>
        <v>302</v>
      </c>
      <c r="R3" s="8">
        <f>ROUND((829-74)*400/829,0)+50</f>
        <v>414</v>
      </c>
      <c r="S3" s="8">
        <f>98-44</f>
        <v>54</v>
      </c>
      <c r="T3" s="8"/>
      <c r="U3" s="8"/>
      <c r="V3" s="8">
        <f>ROUND((2576-443)*400/2576,0)</f>
        <v>331</v>
      </c>
      <c r="W3" s="8">
        <f>ROUND((4001-535)*400/4001,0)</f>
        <v>347</v>
      </c>
      <c r="X3" s="8"/>
      <c r="Y3" s="8"/>
      <c r="Z3" s="8">
        <f>ROUND((957-14)*400/957,0)</f>
        <v>394</v>
      </c>
      <c r="AA3" s="8"/>
      <c r="AB3" s="8">
        <f>ROUND((768-149)*400/768,0)</f>
        <v>322</v>
      </c>
      <c r="AC3" s="8"/>
      <c r="AD3" s="8"/>
      <c r="AE3" s="8">
        <f>198-40+100</f>
        <v>258</v>
      </c>
      <c r="AF3" s="8"/>
      <c r="AG3" s="8"/>
      <c r="AH3" s="8">
        <f>38-10+500</f>
        <v>528</v>
      </c>
      <c r="AI3" s="8"/>
      <c r="AJ3" s="8"/>
      <c r="AK3" s="8"/>
      <c r="AL3" s="8"/>
      <c r="AM3" s="9"/>
      <c r="AN3" s="8"/>
      <c r="AO3" s="8"/>
      <c r="AP3" s="8"/>
      <c r="AQ3" s="8"/>
      <c r="AR3" s="8"/>
      <c r="AS3" s="8"/>
      <c r="AT3" s="8"/>
      <c r="AU3" s="8"/>
    </row>
    <row r="4" spans="1:47" x14ac:dyDescent="0.25">
      <c r="A4" s="8">
        <v>3</v>
      </c>
      <c r="B4" s="9" cm="1">
        <f t="array" ref="B4">SUMPRODUCT((E4:BQ4)*(E4:BQ4&gt;=LARGE(E4:BQ4,6)))</f>
        <v>1845</v>
      </c>
      <c r="C4" s="8" t="s">
        <v>40</v>
      </c>
      <c r="D4" s="8">
        <f t="shared" ref="D4:D23" si="0">IF(COUNT(E4:AU4)&gt;30,30,COUNT(E4:AU4))</f>
        <v>7</v>
      </c>
      <c r="E4" s="8"/>
      <c r="F4" s="8"/>
      <c r="G4" s="8"/>
      <c r="H4" s="8"/>
      <c r="I4" s="8">
        <f>214-63</f>
        <v>151</v>
      </c>
      <c r="J4" s="8"/>
      <c r="K4" s="8">
        <f>ROUND((824-227)*400/824,0)</f>
        <v>290</v>
      </c>
      <c r="L4" s="8">
        <f>288-68+100</f>
        <v>320</v>
      </c>
      <c r="M4" s="8"/>
      <c r="N4" s="8"/>
      <c r="O4" s="8"/>
      <c r="P4" s="8"/>
      <c r="Q4" s="8"/>
      <c r="R4" s="8"/>
      <c r="S4" s="8">
        <f>98-16</f>
        <v>82</v>
      </c>
      <c r="T4" s="8"/>
      <c r="U4" s="8"/>
      <c r="V4" s="8"/>
      <c r="W4" s="8"/>
      <c r="X4" s="8">
        <f>ROUND((463-76)*400/463,0)+100</f>
        <v>434</v>
      </c>
      <c r="Y4" s="8"/>
      <c r="Z4" s="8"/>
      <c r="AA4" s="8"/>
      <c r="AB4" s="8"/>
      <c r="AC4" s="8"/>
      <c r="AD4" s="8">
        <f>109-21+250</f>
        <v>338</v>
      </c>
      <c r="AE4" s="8"/>
      <c r="AF4" s="8"/>
      <c r="AG4" s="8">
        <f>ROUND((986-216)*400/986,0)</f>
        <v>312</v>
      </c>
      <c r="AH4" s="8"/>
      <c r="AI4" s="8"/>
      <c r="AJ4" s="8"/>
      <c r="AK4" s="8"/>
      <c r="AL4" s="8"/>
      <c r="AM4" s="9"/>
      <c r="AN4" s="8"/>
      <c r="AO4" s="8"/>
      <c r="AP4" s="8"/>
      <c r="AQ4" s="8"/>
      <c r="AR4" s="8"/>
      <c r="AS4" s="8"/>
      <c r="AT4" s="8"/>
      <c r="AU4" s="8"/>
    </row>
    <row r="5" spans="1:47" x14ac:dyDescent="0.25">
      <c r="A5" s="8">
        <v>4</v>
      </c>
      <c r="B5" s="9">
        <f t="shared" ref="B5:B23" si="1">SUM(E5:AU5)</f>
        <v>638</v>
      </c>
      <c r="C5" s="8" t="s">
        <v>39</v>
      </c>
      <c r="D5" s="8">
        <f t="shared" si="0"/>
        <v>4</v>
      </c>
      <c r="E5" s="8"/>
      <c r="F5" s="8"/>
      <c r="G5" s="8"/>
      <c r="H5" s="8">
        <f>ROUND((8458-4978)*400/8458,0)</f>
        <v>165</v>
      </c>
      <c r="I5" s="8"/>
      <c r="J5" s="8"/>
      <c r="K5" s="8">
        <f>ROUND((824-575)*400/824,0)</f>
        <v>121</v>
      </c>
      <c r="L5" s="8"/>
      <c r="M5" s="8"/>
      <c r="N5" s="8"/>
      <c r="O5" s="8"/>
      <c r="P5" s="8"/>
      <c r="Q5" s="8">
        <f>ROUND((446-258)*400/446,0)</f>
        <v>169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>
        <f>ROUND((530-287)*400/530,0)</f>
        <v>183</v>
      </c>
      <c r="AD5" s="8"/>
      <c r="AE5" s="8"/>
      <c r="AF5" s="8"/>
      <c r="AG5" s="8"/>
      <c r="AH5" s="8"/>
      <c r="AI5" s="8"/>
      <c r="AJ5" s="8"/>
      <c r="AK5" s="8"/>
      <c r="AL5" s="8"/>
      <c r="AM5" s="9"/>
      <c r="AN5" s="8"/>
      <c r="AO5" s="8"/>
      <c r="AP5" s="8"/>
      <c r="AQ5" s="8"/>
      <c r="AR5" s="8"/>
      <c r="AS5" s="8"/>
      <c r="AT5" s="8"/>
      <c r="AU5" s="8"/>
    </row>
    <row r="6" spans="1:47" x14ac:dyDescent="0.25">
      <c r="A6" s="8">
        <v>5</v>
      </c>
      <c r="B6" s="9">
        <f t="shared" si="1"/>
        <v>448</v>
      </c>
      <c r="C6" s="8" t="s">
        <v>23</v>
      </c>
      <c r="D6" s="8">
        <f t="shared" si="0"/>
        <v>5</v>
      </c>
      <c r="E6" s="8">
        <f>92-35+50</f>
        <v>107</v>
      </c>
      <c r="F6" s="8"/>
      <c r="G6" s="8"/>
      <c r="H6" s="8"/>
      <c r="I6" s="8"/>
      <c r="J6" s="8">
        <f>ROUND((409-240)*400/409,0)</f>
        <v>165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>
        <f>144-111</f>
        <v>33</v>
      </c>
      <c r="Z6" s="8"/>
      <c r="AA6" s="8">
        <f>146-94</f>
        <v>52</v>
      </c>
      <c r="AB6" s="8"/>
      <c r="AC6" s="8"/>
      <c r="AD6" s="8"/>
      <c r="AE6" s="8">
        <f>113-72+50</f>
        <v>91</v>
      </c>
      <c r="AF6" s="8"/>
      <c r="AG6" s="8"/>
      <c r="AH6" s="8"/>
      <c r="AI6" s="8"/>
      <c r="AJ6" s="8"/>
      <c r="AK6" s="8"/>
      <c r="AL6" s="8"/>
      <c r="AM6" s="9"/>
      <c r="AN6" s="8"/>
      <c r="AO6" s="8"/>
      <c r="AP6" s="8"/>
      <c r="AQ6" s="8"/>
      <c r="AR6" s="8"/>
      <c r="AS6" s="8"/>
      <c r="AT6" s="8"/>
      <c r="AU6" s="8"/>
    </row>
    <row r="7" spans="1:47" x14ac:dyDescent="0.25">
      <c r="A7" s="8">
        <v>6</v>
      </c>
      <c r="B7" s="9">
        <f t="shared" si="1"/>
        <v>340</v>
      </c>
      <c r="C7" s="8" t="s">
        <v>75</v>
      </c>
      <c r="D7" s="8">
        <f t="shared" si="0"/>
        <v>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>
        <f>209-19+150</f>
        <v>340</v>
      </c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9"/>
      <c r="AN7" s="8"/>
      <c r="AO7" s="8"/>
      <c r="AP7" s="8"/>
      <c r="AQ7" s="8"/>
      <c r="AR7" s="8"/>
      <c r="AS7" s="8"/>
      <c r="AT7" s="8"/>
      <c r="AU7" s="8"/>
    </row>
    <row r="8" spans="1:47" x14ac:dyDescent="0.25">
      <c r="A8" s="8">
        <v>7</v>
      </c>
      <c r="B8" s="9">
        <f t="shared" si="1"/>
        <v>72</v>
      </c>
      <c r="C8" s="8" t="s">
        <v>74</v>
      </c>
      <c r="D8" s="8">
        <f t="shared" si="0"/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>
        <f>223-151</f>
        <v>72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9"/>
      <c r="AN8" s="8"/>
      <c r="AO8" s="8"/>
      <c r="AP8" s="8"/>
      <c r="AQ8" s="8"/>
      <c r="AR8" s="8"/>
      <c r="AS8" s="8"/>
      <c r="AT8" s="8"/>
      <c r="AU8" s="8"/>
    </row>
    <row r="9" spans="1:47" x14ac:dyDescent="0.25">
      <c r="A9" s="8">
        <v>8</v>
      </c>
      <c r="B9" s="9">
        <f t="shared" si="1"/>
        <v>54</v>
      </c>
      <c r="C9" s="8" t="s">
        <v>70</v>
      </c>
      <c r="D9" s="8">
        <f t="shared" si="0"/>
        <v>1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>
        <f>98-44</f>
        <v>54</v>
      </c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9"/>
      <c r="AN9" s="8"/>
      <c r="AO9" s="8"/>
      <c r="AP9" s="8"/>
      <c r="AQ9" s="8"/>
      <c r="AR9" s="8"/>
      <c r="AS9" s="8"/>
      <c r="AT9" s="8"/>
      <c r="AU9" s="8"/>
    </row>
    <row r="10" spans="1:47" x14ac:dyDescent="0.25">
      <c r="A10" s="8">
        <v>9</v>
      </c>
      <c r="B10" s="9">
        <f t="shared" si="1"/>
        <v>44</v>
      </c>
      <c r="C10" s="8" t="s">
        <v>89</v>
      </c>
      <c r="D10" s="8">
        <f t="shared" si="0"/>
        <v>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>
        <f>217-173</f>
        <v>44</v>
      </c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9"/>
      <c r="AN10" s="8"/>
      <c r="AO10" s="8"/>
      <c r="AP10" s="8"/>
      <c r="AQ10" s="8"/>
      <c r="AR10" s="8"/>
      <c r="AS10" s="8"/>
      <c r="AT10" s="8"/>
      <c r="AU10" s="8"/>
    </row>
    <row r="11" spans="1:47" x14ac:dyDescent="0.25">
      <c r="A11" s="8">
        <v>10</v>
      </c>
      <c r="B11" s="9">
        <f t="shared" si="1"/>
        <v>11</v>
      </c>
      <c r="C11" s="8" t="s">
        <v>54</v>
      </c>
      <c r="D11" s="8">
        <f t="shared" si="0"/>
        <v>1</v>
      </c>
      <c r="E11" s="8"/>
      <c r="F11" s="8"/>
      <c r="G11" s="8"/>
      <c r="H11" s="8"/>
      <c r="I11" s="8"/>
      <c r="J11" s="8"/>
      <c r="K11" s="8"/>
      <c r="L11" s="8"/>
      <c r="M11" s="8"/>
      <c r="N11" s="8">
        <f>ROUND((561-545)*400/561,0)</f>
        <v>11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9"/>
      <c r="AN11" s="8"/>
      <c r="AO11" s="8"/>
      <c r="AP11" s="8"/>
      <c r="AQ11" s="8"/>
      <c r="AR11" s="8"/>
      <c r="AS11" s="8"/>
      <c r="AT11" s="8"/>
      <c r="AU11" s="8"/>
    </row>
    <row r="12" spans="1:47" x14ac:dyDescent="0.25">
      <c r="A12" s="8">
        <v>11</v>
      </c>
      <c r="B12" s="9">
        <f t="shared" si="1"/>
        <v>0</v>
      </c>
      <c r="C12" s="8"/>
      <c r="D12" s="8">
        <f t="shared" si="0"/>
        <v>0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9"/>
      <c r="AN12" s="8"/>
      <c r="AO12" s="8"/>
      <c r="AP12" s="8"/>
      <c r="AQ12" s="8"/>
      <c r="AR12" s="8"/>
      <c r="AS12" s="8"/>
      <c r="AT12" s="8"/>
      <c r="AU12" s="8"/>
    </row>
    <row r="13" spans="1:47" x14ac:dyDescent="0.25">
      <c r="A13" s="8">
        <v>12</v>
      </c>
      <c r="B13" s="9">
        <f t="shared" si="1"/>
        <v>0</v>
      </c>
      <c r="C13" s="8"/>
      <c r="D13" s="8">
        <f t="shared" si="0"/>
        <v>0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9"/>
      <c r="AN13" s="8"/>
      <c r="AO13" s="8"/>
      <c r="AP13" s="8"/>
      <c r="AQ13" s="8"/>
      <c r="AR13" s="8"/>
      <c r="AS13" s="8"/>
      <c r="AT13" s="8"/>
      <c r="AU13" s="8"/>
    </row>
    <row r="14" spans="1:47" x14ac:dyDescent="0.25">
      <c r="A14" s="8">
        <v>13</v>
      </c>
      <c r="B14" s="9">
        <f t="shared" si="1"/>
        <v>0</v>
      </c>
      <c r="C14" s="8"/>
      <c r="D14" s="8">
        <f t="shared" si="0"/>
        <v>0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9"/>
      <c r="AN14" s="8"/>
      <c r="AO14" s="8"/>
      <c r="AP14" s="8"/>
      <c r="AQ14" s="8"/>
      <c r="AR14" s="8"/>
      <c r="AS14" s="8"/>
      <c r="AT14" s="8"/>
      <c r="AU14" s="8"/>
    </row>
    <row r="15" spans="1:47" x14ac:dyDescent="0.25">
      <c r="A15" s="8">
        <v>14</v>
      </c>
      <c r="B15" s="9">
        <f t="shared" si="1"/>
        <v>0</v>
      </c>
      <c r="C15" s="8"/>
      <c r="D15" s="8">
        <f t="shared" si="0"/>
        <v>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9"/>
      <c r="AN15" s="8"/>
      <c r="AO15" s="8"/>
      <c r="AP15" s="8"/>
      <c r="AQ15" s="8"/>
      <c r="AR15" s="8"/>
      <c r="AS15" s="8"/>
      <c r="AT15" s="8"/>
      <c r="AU15" s="8"/>
    </row>
    <row r="16" spans="1:47" x14ac:dyDescent="0.25">
      <c r="A16" s="8">
        <v>15</v>
      </c>
      <c r="B16" s="9">
        <f t="shared" si="1"/>
        <v>0</v>
      </c>
      <c r="C16" s="8"/>
      <c r="D16" s="8">
        <f t="shared" si="0"/>
        <v>0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9"/>
      <c r="AN16" s="8"/>
      <c r="AO16" s="8"/>
      <c r="AP16" s="8"/>
      <c r="AQ16" s="8"/>
      <c r="AR16" s="8"/>
      <c r="AS16" s="8"/>
      <c r="AT16" s="8"/>
      <c r="AU16" s="8"/>
    </row>
    <row r="17" spans="1:47" x14ac:dyDescent="0.25">
      <c r="A17" s="8">
        <v>16</v>
      </c>
      <c r="B17" s="9">
        <f t="shared" si="1"/>
        <v>0</v>
      </c>
      <c r="C17" s="8"/>
      <c r="D17" s="8">
        <f t="shared" si="0"/>
        <v>0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9"/>
      <c r="AN17" s="8"/>
      <c r="AO17" s="8"/>
      <c r="AP17" s="8"/>
      <c r="AQ17" s="8"/>
      <c r="AR17" s="8"/>
      <c r="AS17" s="8"/>
      <c r="AT17" s="8"/>
      <c r="AU17" s="8"/>
    </row>
    <row r="18" spans="1:47" x14ac:dyDescent="0.25">
      <c r="A18" s="8">
        <v>17</v>
      </c>
      <c r="B18" s="9">
        <f t="shared" si="1"/>
        <v>0</v>
      </c>
      <c r="C18" s="8"/>
      <c r="D18" s="8">
        <f t="shared" si="0"/>
        <v>0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9"/>
      <c r="AN18" s="8"/>
      <c r="AO18" s="8"/>
      <c r="AP18" s="8"/>
      <c r="AQ18" s="8"/>
      <c r="AR18" s="8"/>
      <c r="AS18" s="8"/>
      <c r="AT18" s="8"/>
      <c r="AU18" s="8"/>
    </row>
    <row r="19" spans="1:47" x14ac:dyDescent="0.25">
      <c r="A19" s="8">
        <v>18</v>
      </c>
      <c r="B19" s="9">
        <f t="shared" si="1"/>
        <v>0</v>
      </c>
      <c r="C19" s="8"/>
      <c r="D19" s="8">
        <f t="shared" si="0"/>
        <v>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9"/>
      <c r="AN19" s="8"/>
      <c r="AO19" s="8"/>
      <c r="AP19" s="8"/>
      <c r="AQ19" s="8"/>
      <c r="AR19" s="8"/>
      <c r="AS19" s="8"/>
      <c r="AT19" s="8"/>
      <c r="AU19" s="8"/>
    </row>
    <row r="20" spans="1:47" x14ac:dyDescent="0.25">
      <c r="A20" s="8">
        <v>19</v>
      </c>
      <c r="B20" s="9">
        <f t="shared" si="1"/>
        <v>0</v>
      </c>
      <c r="C20" s="8"/>
      <c r="D20" s="8">
        <f t="shared" si="0"/>
        <v>0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9"/>
      <c r="AN20" s="8"/>
      <c r="AO20" s="8"/>
      <c r="AP20" s="8"/>
      <c r="AQ20" s="8"/>
      <c r="AR20" s="8"/>
      <c r="AS20" s="8"/>
      <c r="AT20" s="8"/>
      <c r="AU20" s="8"/>
    </row>
    <row r="21" spans="1:47" x14ac:dyDescent="0.25">
      <c r="A21" s="8">
        <v>20</v>
      </c>
      <c r="B21" s="9">
        <f t="shared" si="1"/>
        <v>0</v>
      </c>
      <c r="C21" s="8"/>
      <c r="D21" s="8">
        <f t="shared" si="0"/>
        <v>0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9"/>
      <c r="AN21" s="8"/>
      <c r="AO21" s="8"/>
      <c r="AP21" s="8"/>
      <c r="AQ21" s="8"/>
      <c r="AR21" s="8"/>
      <c r="AS21" s="8"/>
      <c r="AT21" s="8"/>
      <c r="AU21" s="8"/>
    </row>
    <row r="22" spans="1:47" x14ac:dyDescent="0.25">
      <c r="A22" s="8">
        <v>21</v>
      </c>
      <c r="B22" s="9">
        <f t="shared" si="1"/>
        <v>0</v>
      </c>
      <c r="C22" s="8"/>
      <c r="D22" s="8">
        <f t="shared" si="0"/>
        <v>0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9"/>
      <c r="AN22" s="8"/>
      <c r="AO22" s="8"/>
      <c r="AP22" s="8"/>
      <c r="AQ22" s="8"/>
      <c r="AR22" s="8"/>
      <c r="AS22" s="8"/>
      <c r="AT22" s="8"/>
      <c r="AU22" s="8"/>
    </row>
    <row r="23" spans="1:47" x14ac:dyDescent="0.25">
      <c r="A23" s="8">
        <v>22</v>
      </c>
      <c r="B23" s="9">
        <f t="shared" si="1"/>
        <v>0</v>
      </c>
      <c r="C23" s="8"/>
      <c r="D23" s="8">
        <f t="shared" si="0"/>
        <v>0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9"/>
      <c r="AN23" s="8"/>
      <c r="AO23" s="8"/>
      <c r="AP23" s="8"/>
      <c r="AQ23" s="8"/>
      <c r="AR23" s="8"/>
      <c r="AS23" s="8"/>
      <c r="AT23" s="8"/>
      <c r="AU23" s="8"/>
    </row>
    <row r="25" spans="1:47" x14ac:dyDescent="0.25">
      <c r="A25" s="6"/>
    </row>
    <row r="26" spans="1:47" x14ac:dyDescent="0.25">
      <c r="A26" s="7"/>
    </row>
    <row r="28" spans="1:47" x14ac:dyDescent="0.25">
      <c r="D28" t="e" cm="1">
        <f t="array" ref="D28">SUMPRODUCT((E2:AU2)*(E2:AU2&gt;=LARGE(E2:AU2,12)))</f>
        <v>#NUM!</v>
      </c>
    </row>
    <row r="29" spans="1:47" x14ac:dyDescent="0.25">
      <c r="D29">
        <f>ROUND((565-83)*400/565,0)</f>
        <v>341</v>
      </c>
    </row>
  </sheetData>
  <autoFilter ref="A1:D29" xr:uid="{143899E1-AB98-496F-ACF8-2E30AAA8CE3F}"/>
  <sortState xmlns:xlrd2="http://schemas.microsoft.com/office/spreadsheetml/2017/richdata2" ref="A2:AU29">
    <sortCondition descending="1" ref="B2:B29"/>
  </sortState>
  <pageMargins left="0.7" right="0.7" top="0.75" bottom="0.75" header="0.3" footer="0.3"/>
  <pageSetup paperSize="9" orientation="portrait" r:id="rId1"/>
  <headerFooter>
    <oddFooter>&amp;L&amp;1#&amp;"Tahoma"&amp;9&amp;KCF022BC2 – Usage restreint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Hommes</vt:lpstr>
      <vt:lpstr>Femme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Billon</dc:creator>
  <cp:lastModifiedBy>Alice Billon</cp:lastModifiedBy>
  <dcterms:created xsi:type="dcterms:W3CDTF">2016-11-27T13:55:18Z</dcterms:created>
  <dcterms:modified xsi:type="dcterms:W3CDTF">2025-08-17T18:31:24Z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d1f144-26ac-4410-8fdb-05c7de218e82_Enabled">
    <vt:lpwstr>true</vt:lpwstr>
  </property>
  <property fmtid="{D5CDD505-2E9C-101B-9397-08002B2CF9AE}" pid="3" name="MSIP_Label_7bd1f144-26ac-4410-8fdb-05c7de218e82_SetDate">
    <vt:lpwstr>2023-01-13T17:14:39Z</vt:lpwstr>
  </property>
  <property fmtid="{D5CDD505-2E9C-101B-9397-08002B2CF9AE}" pid="4" name="MSIP_Label_7bd1f144-26ac-4410-8fdb-05c7de218e82_Method">
    <vt:lpwstr>Standard</vt:lpwstr>
  </property>
  <property fmtid="{D5CDD505-2E9C-101B-9397-08002B2CF9AE}" pid="5" name="MSIP_Label_7bd1f144-26ac-4410-8fdb-05c7de218e82_Name">
    <vt:lpwstr>FR Usage restreint</vt:lpwstr>
  </property>
  <property fmtid="{D5CDD505-2E9C-101B-9397-08002B2CF9AE}" pid="6" name="MSIP_Label_7bd1f144-26ac-4410-8fdb-05c7de218e82_SiteId">
    <vt:lpwstr>8b87af7d-8647-4dc7-8df4-5f69a2011bb5</vt:lpwstr>
  </property>
  <property fmtid="{D5CDD505-2E9C-101B-9397-08002B2CF9AE}" pid="7" name="MSIP_Label_7bd1f144-26ac-4410-8fdb-05c7de218e82_ActionId">
    <vt:lpwstr>8c1cb4df-019d-431b-ac22-988f35aa1051</vt:lpwstr>
  </property>
  <property fmtid="{D5CDD505-2E9C-101B-9397-08002B2CF9AE}" pid="8" name="MSIP_Label_7bd1f144-26ac-4410-8fdb-05c7de218e82_ContentBits">
    <vt:lpwstr>3</vt:lpwstr>
  </property>
</Properties>
</file>